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user_039\Desktop\Печать\ПРАЙСЫ рабочие версии\20251013\"/>
    </mc:Choice>
  </mc:AlternateContent>
  <xr:revisionPtr revIDLastSave="0" documentId="13_ncr:1_{585824D9-D53E-4AAB-9C5D-E285F0A40A34}" xr6:coauthVersionLast="36" xr6:coauthVersionMax="47" xr10:uidLastSave="{00000000-0000-0000-0000-000000000000}"/>
  <workbookProtection workbookPassword="CC71" lockStructure="1"/>
  <bookViews>
    <workbookView xWindow="0" yWindow="0" windowWidth="28800" windowHeight="12225" xr2:uid="{00000000-000D-0000-FFFF-FFFF00000000}"/>
  </bookViews>
  <sheets>
    <sheet name="Бланк зам Фарба" sheetId="1" r:id="rId1"/>
    <sheet name="Правила роботи" sheetId="6" r:id="rId2"/>
    <sheet name="Краски" sheetId="2" state="hidden" r:id="rId3"/>
    <sheet name="Фрезеровки" sheetId="3" state="hidden" r:id="rId4"/>
    <sheet name="Патина" sheetId="4" state="hidden" r:id="rId5"/>
    <sheet name="Гнутые" sheetId="5" state="hidden" r:id="rId6"/>
  </sheets>
  <definedNames>
    <definedName name="_xlnm._FilterDatabase" localSheetId="0" hidden="1">'Бланк зам Фарба'!$L$178:$L$246</definedName>
    <definedName name="_xlnm._FilterDatabase" localSheetId="3" hidden="1">Фрезеровки!$A$2:$T$146</definedName>
    <definedName name="_xlnm.Print_Area" localSheetId="0">'Бланк зам Фарба'!$A$167:$J$259</definedName>
  </definedNames>
  <calcPr calcId="191029"/>
</workbook>
</file>

<file path=xl/calcChain.xml><?xml version="1.0" encoding="utf-8"?>
<calcChain xmlns="http://schemas.openxmlformats.org/spreadsheetml/2006/main">
  <c r="I12" i="2" l="1"/>
  <c r="F13" i="2"/>
  <c r="F14" i="2"/>
  <c r="F12" i="2"/>
  <c r="I3" i="2"/>
  <c r="K13" i="2"/>
  <c r="K14" i="2"/>
  <c r="K12" i="2"/>
  <c r="K4" i="2"/>
  <c r="K5" i="2"/>
  <c r="K3" i="2"/>
  <c r="J3" i="2"/>
  <c r="J14" i="2" l="1"/>
  <c r="I14" i="2"/>
  <c r="J13" i="2"/>
  <c r="I13" i="2"/>
  <c r="J12" i="2"/>
  <c r="J4" i="2"/>
  <c r="J5" i="2"/>
  <c r="I4" i="2"/>
  <c r="I5" i="2"/>
  <c r="S5" i="2" s="1"/>
  <c r="AG6" i="2" l="1"/>
  <c r="R4" i="3" l="1"/>
  <c r="S4" i="3"/>
  <c r="R4" i="2" l="1"/>
  <c r="R3" i="2"/>
  <c r="R21" i="2" s="1"/>
  <c r="V3" i="2"/>
  <c r="H13" i="1" l="1"/>
  <c r="H12" i="1"/>
  <c r="H11" i="1"/>
  <c r="H10" i="1"/>
  <c r="H9" i="1"/>
  <c r="H8" i="1"/>
  <c r="H7" i="1"/>
  <c r="H6" i="1"/>
  <c r="H5" i="1"/>
  <c r="H4" i="1"/>
  <c r="H3" i="1"/>
  <c r="H2" i="1"/>
  <c r="H1" i="1"/>
  <c r="Y45" i="1"/>
  <c r="Y44" i="1"/>
  <c r="Y43" i="1"/>
  <c r="Y42" i="1"/>
  <c r="Y41" i="1"/>
  <c r="Y40" i="1"/>
  <c r="Y39" i="1"/>
  <c r="Y38" i="1"/>
  <c r="Y37" i="1"/>
  <c r="Y36" i="1"/>
  <c r="Y35" i="1"/>
  <c r="Y34" i="1"/>
  <c r="Y33" i="1"/>
  <c r="Y32" i="1"/>
  <c r="Y31" i="1"/>
  <c r="Y30" i="1"/>
  <c r="Y29" i="1"/>
  <c r="Y28" i="1"/>
  <c r="Y27" i="1"/>
  <c r="Y26" i="1"/>
  <c r="Y25" i="1"/>
  <c r="Y24" i="1"/>
  <c r="Y23" i="1"/>
  <c r="Y22" i="1"/>
  <c r="Y21" i="1"/>
  <c r="Y20" i="1"/>
  <c r="Y19" i="1"/>
  <c r="Y18" i="1"/>
  <c r="Y17" i="1"/>
  <c r="Y16" i="1"/>
  <c r="Y15" i="1"/>
  <c r="Y14" i="1"/>
  <c r="Y13" i="1"/>
  <c r="Y12" i="1"/>
  <c r="Y11" i="1"/>
  <c r="Y10" i="1"/>
  <c r="Y9" i="1"/>
  <c r="Y8" i="1"/>
  <c r="Y7" i="1"/>
  <c r="Y6" i="1"/>
  <c r="Y5" i="1"/>
  <c r="Y4" i="1"/>
  <c r="Y3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4" i="1"/>
  <c r="J3" i="1"/>
  <c r="J2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  <c r="F2" i="1"/>
  <c r="O45" i="3"/>
  <c r="O44" i="3"/>
  <c r="O43" i="3"/>
  <c r="O42" i="3"/>
  <c r="O41" i="3"/>
  <c r="O40" i="3"/>
  <c r="O39" i="3"/>
  <c r="O38" i="3"/>
  <c r="O37" i="3"/>
  <c r="O36" i="3"/>
  <c r="O35" i="3"/>
  <c r="O34" i="3"/>
  <c r="O33" i="3"/>
  <c r="O32" i="3"/>
  <c r="O31" i="3"/>
  <c r="O30" i="3"/>
  <c r="O29" i="3"/>
  <c r="O28" i="3"/>
  <c r="O27" i="3"/>
  <c r="O26" i="3"/>
  <c r="O25" i="3"/>
  <c r="O15" i="3"/>
  <c r="O24" i="3"/>
  <c r="O23" i="3"/>
  <c r="O21" i="3"/>
  <c r="O20" i="3"/>
  <c r="O19" i="3"/>
  <c r="O18" i="3"/>
  <c r="O17" i="3"/>
  <c r="O16" i="3"/>
  <c r="O4" i="3"/>
  <c r="O10" i="3"/>
  <c r="O9" i="3"/>
  <c r="O8" i="3"/>
  <c r="O13" i="3"/>
  <c r="O12" i="3"/>
  <c r="O7" i="3"/>
  <c r="O6" i="3"/>
  <c r="O5" i="3"/>
  <c r="S28" i="3"/>
  <c r="R28" i="3"/>
  <c r="S25" i="3"/>
  <c r="R25" i="3"/>
  <c r="S22" i="3"/>
  <c r="R22" i="3"/>
  <c r="S19" i="3"/>
  <c r="R19" i="3"/>
  <c r="S16" i="3"/>
  <c r="R16" i="3"/>
  <c r="S15" i="3"/>
  <c r="R15" i="3"/>
  <c r="S14" i="3"/>
  <c r="R14" i="3"/>
  <c r="S11" i="3"/>
  <c r="R11" i="3"/>
  <c r="S8" i="3"/>
  <c r="R8" i="3"/>
  <c r="S5" i="3"/>
  <c r="R5" i="3"/>
  <c r="S43" i="3"/>
  <c r="R43" i="3"/>
  <c r="S42" i="3"/>
  <c r="R42" i="3"/>
  <c r="S41" i="3"/>
  <c r="R41" i="3"/>
  <c r="S40" i="3"/>
  <c r="R40" i="3"/>
  <c r="S39" i="3"/>
  <c r="R39" i="3"/>
  <c r="S38" i="3"/>
  <c r="R38" i="3"/>
  <c r="S37" i="3"/>
  <c r="R37" i="3"/>
  <c r="S36" i="3"/>
  <c r="R36" i="3"/>
  <c r="S35" i="3"/>
  <c r="R35" i="3"/>
  <c r="S34" i="3"/>
  <c r="R34" i="3"/>
  <c r="S33" i="3"/>
  <c r="R33" i="3"/>
  <c r="S32" i="3"/>
  <c r="R32" i="3"/>
  <c r="S31" i="3"/>
  <c r="R31" i="3"/>
  <c r="S45" i="3"/>
  <c r="R45" i="3"/>
  <c r="S44" i="3"/>
  <c r="R44" i="3"/>
  <c r="S30" i="3"/>
  <c r="R30" i="3"/>
  <c r="S29" i="3"/>
  <c r="R29" i="3"/>
  <c r="S27" i="3"/>
  <c r="R27" i="3"/>
  <c r="S26" i="3"/>
  <c r="R26" i="3"/>
  <c r="S24" i="3"/>
  <c r="R24" i="3"/>
  <c r="S23" i="3"/>
  <c r="R23" i="3"/>
  <c r="S21" i="3"/>
  <c r="R21" i="3"/>
  <c r="S20" i="3"/>
  <c r="R20" i="3"/>
  <c r="S18" i="3"/>
  <c r="R18" i="3"/>
  <c r="S17" i="3"/>
  <c r="R17" i="3"/>
  <c r="S13" i="3"/>
  <c r="R13" i="3"/>
  <c r="S12" i="3"/>
  <c r="R12" i="3"/>
  <c r="S10" i="3"/>
  <c r="R10" i="3"/>
  <c r="S9" i="3"/>
  <c r="R9" i="3"/>
  <c r="S7" i="3"/>
  <c r="R7" i="3"/>
  <c r="S6" i="3"/>
  <c r="R6" i="3"/>
  <c r="AD5" i="2"/>
  <c r="AD23" i="2" s="1"/>
  <c r="AG5" i="2"/>
  <c r="AG23" i="2" s="1"/>
  <c r="AF5" i="2"/>
  <c r="AF23" i="2"/>
  <c r="AE23" i="2"/>
  <c r="AC23" i="2"/>
  <c r="AB23" i="2"/>
  <c r="AF22" i="2"/>
  <c r="AE22" i="2"/>
  <c r="AD22" i="2"/>
  <c r="AC22" i="2"/>
  <c r="AB22" i="2"/>
  <c r="AF21" i="2"/>
  <c r="AE21" i="2"/>
  <c r="AD21" i="2"/>
  <c r="AC21" i="2"/>
  <c r="AB21" i="2"/>
  <c r="E74" i="3"/>
  <c r="E75" i="3"/>
  <c r="E53" i="3"/>
  <c r="AA5" i="2"/>
  <c r="AA23" i="2" s="1"/>
  <c r="Y5" i="2"/>
  <c r="Y23" i="2" s="1"/>
  <c r="S23" i="2"/>
  <c r="W5" i="2"/>
  <c r="W23" i="2" s="1"/>
  <c r="U5" i="2"/>
  <c r="U23" i="2" s="1"/>
  <c r="Q7" i="2"/>
  <c r="Q6" i="2"/>
  <c r="Q5" i="2"/>
  <c r="Q4" i="2"/>
  <c r="Q3" i="2"/>
  <c r="AG7" i="2"/>
  <c r="AG24" i="2"/>
  <c r="AG3" i="2"/>
  <c r="AG4" i="2" s="1"/>
  <c r="AA7" i="2"/>
  <c r="Z7" i="2"/>
  <c r="Y7" i="2"/>
  <c r="X7" i="2"/>
  <c r="W7" i="2"/>
  <c r="V7" i="2"/>
  <c r="U7" i="2"/>
  <c r="T7" i="2"/>
  <c r="S7" i="2"/>
  <c r="R7" i="2"/>
  <c r="AA6" i="2"/>
  <c r="Z6" i="2"/>
  <c r="Y6" i="2"/>
  <c r="X6" i="2"/>
  <c r="W6" i="2"/>
  <c r="V6" i="2"/>
  <c r="U6" i="2"/>
  <c r="T6" i="2"/>
  <c r="S6" i="2"/>
  <c r="R6" i="2"/>
  <c r="Z5" i="2"/>
  <c r="Z23" i="2"/>
  <c r="X5" i="2"/>
  <c r="X23" i="2"/>
  <c r="V5" i="2"/>
  <c r="V23" i="2" s="1"/>
  <c r="T5" i="2"/>
  <c r="T23" i="2"/>
  <c r="R5" i="2"/>
  <c r="R23" i="2" s="1"/>
  <c r="AA4" i="2"/>
  <c r="AA22" i="2" s="1"/>
  <c r="Z4" i="2"/>
  <c r="Z22" i="2" s="1"/>
  <c r="Y4" i="2"/>
  <c r="Y22" i="2"/>
  <c r="X4" i="2"/>
  <c r="X22" i="2"/>
  <c r="W4" i="2"/>
  <c r="W22" i="2" s="1"/>
  <c r="V4" i="2"/>
  <c r="V22" i="2" s="1"/>
  <c r="U4" i="2"/>
  <c r="U22" i="2" s="1"/>
  <c r="T4" i="2"/>
  <c r="T22" i="2" s="1"/>
  <c r="S4" i="2"/>
  <c r="S22" i="2" s="1"/>
  <c r="R22" i="2"/>
  <c r="AA3" i="2"/>
  <c r="AA21" i="2"/>
  <c r="Z3" i="2"/>
  <c r="Z21" i="2" s="1"/>
  <c r="Y3" i="2"/>
  <c r="Y21" i="2" s="1"/>
  <c r="X3" i="2"/>
  <c r="X21" i="2"/>
  <c r="W3" i="2"/>
  <c r="W21" i="2" s="1"/>
  <c r="V21" i="2"/>
  <c r="U3" i="2"/>
  <c r="U21" i="2" s="1"/>
  <c r="T3" i="2"/>
  <c r="T21" i="2" s="1"/>
  <c r="S3" i="2"/>
  <c r="S21" i="2" s="1"/>
  <c r="AA2" i="2"/>
  <c r="Z2" i="2"/>
  <c r="Y2" i="2"/>
  <c r="X2" i="2"/>
  <c r="W2" i="2"/>
  <c r="V2" i="2"/>
  <c r="U2" i="2"/>
  <c r="T2" i="2"/>
  <c r="S2" i="2"/>
  <c r="R2" i="2"/>
  <c r="J1" i="1"/>
  <c r="F1" i="1"/>
  <c r="Z194" i="1"/>
  <c r="Z228" i="1"/>
  <c r="O6" i="2"/>
  <c r="D120" i="3"/>
  <c r="D118" i="3"/>
  <c r="D75" i="3"/>
  <c r="D74" i="3"/>
  <c r="D43" i="3"/>
  <c r="D42" i="3"/>
  <c r="D41" i="3"/>
  <c r="D40" i="3"/>
  <c r="D39" i="3"/>
  <c r="C22" i="3"/>
  <c r="D119" i="3"/>
  <c r="D73" i="3"/>
  <c r="D72" i="3"/>
  <c r="D56" i="3"/>
  <c r="D55" i="3"/>
  <c r="D54" i="3"/>
  <c r="D53" i="3"/>
  <c r="D52" i="3"/>
  <c r="D51" i="3"/>
  <c r="D50" i="3"/>
  <c r="D49" i="3"/>
  <c r="D48" i="3"/>
  <c r="D47" i="3"/>
  <c r="D46" i="3"/>
  <c r="D45" i="3"/>
  <c r="D44" i="3"/>
  <c r="D38" i="3"/>
  <c r="D36" i="3"/>
  <c r="D35" i="3"/>
  <c r="D34" i="3"/>
  <c r="D33" i="3"/>
  <c r="D24" i="3"/>
  <c r="A12" i="2"/>
  <c r="A13" i="2" s="1"/>
  <c r="A14" i="2" s="1"/>
  <c r="E124" i="3"/>
  <c r="E101" i="3"/>
  <c r="E11" i="3"/>
  <c r="AA232" i="1"/>
  <c r="AA231" i="1"/>
  <c r="AA230" i="1"/>
  <c r="Z229" i="1"/>
  <c r="AA229" i="1"/>
  <c r="AA228" i="1"/>
  <c r="AA227" i="1"/>
  <c r="AA226" i="1"/>
  <c r="Z225" i="1"/>
  <c r="AA225" i="1"/>
  <c r="AA224" i="1"/>
  <c r="Z223" i="1"/>
  <c r="AD223" i="1"/>
  <c r="AB223" i="1"/>
  <c r="AF223" i="1"/>
  <c r="AA223" i="1"/>
  <c r="AB224" i="1"/>
  <c r="AB225" i="1"/>
  <c r="AB226" i="1"/>
  <c r="AB227" i="1"/>
  <c r="AB228" i="1"/>
  <c r="AB229" i="1"/>
  <c r="AB230" i="1"/>
  <c r="AB231" i="1"/>
  <c r="AB232" i="1"/>
  <c r="K224" i="1"/>
  <c r="AC224" i="1" s="1"/>
  <c r="K225" i="1"/>
  <c r="AC225" i="1" s="1"/>
  <c r="K226" i="1"/>
  <c r="AC226" i="1" s="1"/>
  <c r="K227" i="1"/>
  <c r="AC227" i="1" s="1"/>
  <c r="K228" i="1"/>
  <c r="AC228" i="1" s="1"/>
  <c r="K229" i="1"/>
  <c r="AC229" i="1" s="1"/>
  <c r="K230" i="1"/>
  <c r="AC230" i="1" s="1"/>
  <c r="K231" i="1"/>
  <c r="AC231" i="1" s="1"/>
  <c r="K232" i="1"/>
  <c r="AC232" i="1" s="1"/>
  <c r="AA218" i="1"/>
  <c r="AA217" i="1"/>
  <c r="AA216" i="1"/>
  <c r="AA215" i="1"/>
  <c r="AA214" i="1"/>
  <c r="AA213" i="1"/>
  <c r="AA212" i="1"/>
  <c r="AA211" i="1"/>
  <c r="AA209" i="1"/>
  <c r="AA208" i="1"/>
  <c r="AA207" i="1"/>
  <c r="AA206" i="1"/>
  <c r="AA205" i="1"/>
  <c r="AA204" i="1"/>
  <c r="AA203" i="1"/>
  <c r="AA202" i="1"/>
  <c r="AA201" i="1"/>
  <c r="AA200" i="1"/>
  <c r="AA199" i="1"/>
  <c r="AA198" i="1"/>
  <c r="AA197" i="1"/>
  <c r="AA196" i="1"/>
  <c r="AA195" i="1"/>
  <c r="AA194" i="1"/>
  <c r="AA193" i="1"/>
  <c r="AA192" i="1"/>
  <c r="AA191" i="1"/>
  <c r="AA190" i="1"/>
  <c r="AA189" i="1"/>
  <c r="AA188" i="1"/>
  <c r="AA187" i="1"/>
  <c r="AA186" i="1"/>
  <c r="AA185" i="1"/>
  <c r="AA184" i="1"/>
  <c r="AA183" i="1"/>
  <c r="AA182" i="1"/>
  <c r="AA181" i="1"/>
  <c r="AA180" i="1"/>
  <c r="AB180" i="1"/>
  <c r="AF180" i="1"/>
  <c r="AC180" i="1"/>
  <c r="AD180" i="1"/>
  <c r="N5" i="3"/>
  <c r="N6" i="3" s="1"/>
  <c r="N7" i="3" s="1"/>
  <c r="N8" i="3" s="1"/>
  <c r="N9" i="3" s="1"/>
  <c r="N10" i="3" s="1"/>
  <c r="N11" i="3" s="1"/>
  <c r="N12" i="3" s="1"/>
  <c r="N13" i="3" s="1"/>
  <c r="N14" i="3" s="1"/>
  <c r="N15" i="3" s="1"/>
  <c r="N16" i="3" s="1"/>
  <c r="N17" i="3" s="1"/>
  <c r="N18" i="3" s="1"/>
  <c r="N19" i="3" s="1"/>
  <c r="N20" i="3" s="1"/>
  <c r="N21" i="3" s="1"/>
  <c r="N22" i="3" s="1"/>
  <c r="N23" i="3" s="1"/>
  <c r="N24" i="3" s="1"/>
  <c r="N25" i="3" s="1"/>
  <c r="N26" i="3" s="1"/>
  <c r="N27" i="3" s="1"/>
  <c r="N28" i="3" s="1"/>
  <c r="N29" i="3" s="1"/>
  <c r="N30" i="3" s="1"/>
  <c r="N31" i="3" s="1"/>
  <c r="N32" i="3" s="1"/>
  <c r="N33" i="3" s="1"/>
  <c r="N34" i="3" s="1"/>
  <c r="N35" i="3" s="1"/>
  <c r="N36" i="3" s="1"/>
  <c r="N37" i="3" s="1"/>
  <c r="N38" i="3" s="1"/>
  <c r="N39" i="3" s="1"/>
  <c r="N40" i="3" s="1"/>
  <c r="N41" i="3" s="1"/>
  <c r="N42" i="3" s="1"/>
  <c r="N43" i="3" s="1"/>
  <c r="N44" i="3" s="1"/>
  <c r="N45" i="3" s="1"/>
  <c r="AF218" i="1"/>
  <c r="AB218" i="1"/>
  <c r="AC218" i="1"/>
  <c r="AD218" i="1"/>
  <c r="AF217" i="1"/>
  <c r="AB217" i="1"/>
  <c r="AC217" i="1"/>
  <c r="AD217" i="1"/>
  <c r="AF216" i="1"/>
  <c r="AB216" i="1"/>
  <c r="AC216" i="1"/>
  <c r="AD216" i="1"/>
  <c r="AF215" i="1"/>
  <c r="AB215" i="1"/>
  <c r="AC215" i="1"/>
  <c r="AD215" i="1"/>
  <c r="AF214" i="1"/>
  <c r="AB214" i="1"/>
  <c r="AC214" i="1"/>
  <c r="AD214" i="1"/>
  <c r="AF213" i="1"/>
  <c r="AB213" i="1"/>
  <c r="AC213" i="1"/>
  <c r="AD213" i="1"/>
  <c r="AF212" i="1"/>
  <c r="AB212" i="1"/>
  <c r="AC212" i="1"/>
  <c r="AD212" i="1"/>
  <c r="AF211" i="1"/>
  <c r="AB211" i="1"/>
  <c r="AC211" i="1"/>
  <c r="AD211" i="1"/>
  <c r="AF209" i="1"/>
  <c r="AB209" i="1"/>
  <c r="AC209" i="1"/>
  <c r="AD209" i="1"/>
  <c r="AF208" i="1"/>
  <c r="AB208" i="1"/>
  <c r="AC208" i="1"/>
  <c r="AD208" i="1"/>
  <c r="AF207" i="1"/>
  <c r="AB207" i="1"/>
  <c r="AC207" i="1"/>
  <c r="AD207" i="1"/>
  <c r="AF206" i="1"/>
  <c r="AB206" i="1"/>
  <c r="AC206" i="1"/>
  <c r="AD206" i="1"/>
  <c r="AF205" i="1"/>
  <c r="AB205" i="1"/>
  <c r="AC205" i="1"/>
  <c r="AD205" i="1"/>
  <c r="AF204" i="1"/>
  <c r="AB204" i="1"/>
  <c r="AC204" i="1"/>
  <c r="AD204" i="1"/>
  <c r="AF203" i="1"/>
  <c r="AB203" i="1"/>
  <c r="AC203" i="1"/>
  <c r="AD203" i="1"/>
  <c r="AF202" i="1"/>
  <c r="AB202" i="1"/>
  <c r="AC202" i="1"/>
  <c r="AD202" i="1"/>
  <c r="AF201" i="1"/>
  <c r="AB201" i="1"/>
  <c r="AC201" i="1"/>
  <c r="AD201" i="1"/>
  <c r="AF200" i="1"/>
  <c r="AB200" i="1"/>
  <c r="AC200" i="1"/>
  <c r="AD200" i="1"/>
  <c r="AF199" i="1"/>
  <c r="AB199" i="1"/>
  <c r="AC199" i="1"/>
  <c r="AD199" i="1"/>
  <c r="AF198" i="1"/>
  <c r="AB198" i="1"/>
  <c r="AC198" i="1"/>
  <c r="AD198" i="1"/>
  <c r="AF197" i="1"/>
  <c r="AB197" i="1"/>
  <c r="AC197" i="1"/>
  <c r="AD197" i="1"/>
  <c r="AF196" i="1"/>
  <c r="AB196" i="1"/>
  <c r="AC196" i="1"/>
  <c r="AD196" i="1"/>
  <c r="AF195" i="1"/>
  <c r="AB195" i="1"/>
  <c r="AC195" i="1"/>
  <c r="AD195" i="1"/>
  <c r="AF194" i="1"/>
  <c r="AB194" i="1"/>
  <c r="AC194" i="1"/>
  <c r="AD194" i="1"/>
  <c r="AF193" i="1"/>
  <c r="AB193" i="1"/>
  <c r="AC193" i="1"/>
  <c r="AD193" i="1"/>
  <c r="AF192" i="1"/>
  <c r="AB192" i="1"/>
  <c r="AC192" i="1"/>
  <c r="AD192" i="1"/>
  <c r="AF191" i="1"/>
  <c r="AB191" i="1"/>
  <c r="AC191" i="1"/>
  <c r="AD191" i="1"/>
  <c r="AF190" i="1"/>
  <c r="AB190" i="1"/>
  <c r="AC190" i="1"/>
  <c r="AD190" i="1"/>
  <c r="AF189" i="1"/>
  <c r="AB189" i="1"/>
  <c r="AC189" i="1"/>
  <c r="AD189" i="1"/>
  <c r="AF188" i="1"/>
  <c r="AB188" i="1"/>
  <c r="AC188" i="1"/>
  <c r="AD188" i="1"/>
  <c r="AF187" i="1"/>
  <c r="AB187" i="1"/>
  <c r="AC187" i="1"/>
  <c r="AD187" i="1"/>
  <c r="AF186" i="1"/>
  <c r="AB186" i="1"/>
  <c r="AC186" i="1"/>
  <c r="AD186" i="1"/>
  <c r="AF185" i="1"/>
  <c r="AB185" i="1"/>
  <c r="AC185" i="1"/>
  <c r="AD185" i="1"/>
  <c r="AF184" i="1"/>
  <c r="AB184" i="1"/>
  <c r="AC184" i="1"/>
  <c r="AD184" i="1"/>
  <c r="AF183" i="1"/>
  <c r="AB183" i="1"/>
  <c r="AC183" i="1"/>
  <c r="AD183" i="1"/>
  <c r="AF182" i="1"/>
  <c r="AB182" i="1"/>
  <c r="AC182" i="1"/>
  <c r="AD182" i="1"/>
  <c r="AF181" i="1"/>
  <c r="AB181" i="1"/>
  <c r="K181" i="1" s="1"/>
  <c r="AC181" i="1"/>
  <c r="AD181" i="1"/>
  <c r="AD236" i="1"/>
  <c r="AD237" i="1"/>
  <c r="AD238" i="1"/>
  <c r="AD239" i="1"/>
  <c r="AD240" i="1"/>
  <c r="AD241" i="1"/>
  <c r="AD242" i="1"/>
  <c r="AD243" i="1"/>
  <c r="AD244" i="1"/>
  <c r="AD245" i="1"/>
  <c r="AD224" i="1"/>
  <c r="AD225" i="1"/>
  <c r="AD226" i="1"/>
  <c r="AD227" i="1"/>
  <c r="AD228" i="1"/>
  <c r="AD229" i="1"/>
  <c r="AD230" i="1"/>
  <c r="AD231" i="1"/>
  <c r="AD232" i="1"/>
  <c r="D11" i="2"/>
  <c r="AI232" i="1"/>
  <c r="AH232" i="1"/>
  <c r="AF232" i="1"/>
  <c r="L232" i="1"/>
  <c r="AI231" i="1"/>
  <c r="AH231" i="1"/>
  <c r="AF231" i="1"/>
  <c r="L231" i="1"/>
  <c r="AI230" i="1"/>
  <c r="AH230" i="1"/>
  <c r="AF230" i="1"/>
  <c r="L230" i="1"/>
  <c r="AI229" i="1"/>
  <c r="AH229" i="1"/>
  <c r="AF229" i="1"/>
  <c r="L229" i="1"/>
  <c r="AI228" i="1"/>
  <c r="AH228" i="1"/>
  <c r="AF228" i="1"/>
  <c r="L228" i="1"/>
  <c r="AI227" i="1"/>
  <c r="AH227" i="1"/>
  <c r="AF227" i="1"/>
  <c r="L227" i="1"/>
  <c r="AI226" i="1"/>
  <c r="AH226" i="1"/>
  <c r="AF226" i="1"/>
  <c r="L226" i="1"/>
  <c r="AF225" i="1"/>
  <c r="AF224" i="1"/>
  <c r="D233" i="1"/>
  <c r="K222" i="1" s="1"/>
  <c r="AH223" i="1"/>
  <c r="AI223" i="1"/>
  <c r="AH224" i="1"/>
  <c r="AH225" i="1"/>
  <c r="AI225" i="1"/>
  <c r="AI224" i="1"/>
  <c r="AA245" i="1"/>
  <c r="AA244" i="1"/>
  <c r="AA243" i="1"/>
  <c r="AA242" i="1"/>
  <c r="Z242" i="1"/>
  <c r="AA241" i="1"/>
  <c r="Z241" i="1"/>
  <c r="AA240" i="1"/>
  <c r="Z240" i="1"/>
  <c r="AA239" i="1"/>
  <c r="AA238" i="1"/>
  <c r="Z238" i="1"/>
  <c r="AA237" i="1"/>
  <c r="AA236" i="1"/>
  <c r="Z245" i="1"/>
  <c r="AC245" i="1"/>
  <c r="L245" i="1"/>
  <c r="K245" i="1"/>
  <c r="G245" i="1"/>
  <c r="Z244" i="1"/>
  <c r="AC244" i="1"/>
  <c r="L244" i="1"/>
  <c r="K244" i="1"/>
  <c r="G244" i="1"/>
  <c r="Z243" i="1"/>
  <c r="AC243" i="1"/>
  <c r="L243" i="1"/>
  <c r="K243" i="1"/>
  <c r="G243" i="1"/>
  <c r="AC242" i="1"/>
  <c r="L242" i="1"/>
  <c r="K242" i="1"/>
  <c r="G242" i="1"/>
  <c r="AC241" i="1"/>
  <c r="L241" i="1"/>
  <c r="K241" i="1"/>
  <c r="G241" i="1"/>
  <c r="AC240" i="1"/>
  <c r="L240" i="1"/>
  <c r="K240" i="1"/>
  <c r="G240" i="1"/>
  <c r="Z239" i="1"/>
  <c r="AC239" i="1"/>
  <c r="L239" i="1"/>
  <c r="K239" i="1"/>
  <c r="G239" i="1"/>
  <c r="AC238" i="1"/>
  <c r="L238" i="1"/>
  <c r="K238" i="1"/>
  <c r="G238" i="1"/>
  <c r="Z237" i="1"/>
  <c r="Z236" i="1"/>
  <c r="Y2" i="1"/>
  <c r="K218" i="1"/>
  <c r="K217" i="1"/>
  <c r="K216" i="1"/>
  <c r="K215" i="1"/>
  <c r="K214" i="1"/>
  <c r="K213" i="1"/>
  <c r="K212" i="1"/>
  <c r="K209" i="1"/>
  <c r="K208" i="1"/>
  <c r="K207" i="1"/>
  <c r="K206" i="1"/>
  <c r="K205" i="1"/>
  <c r="K204" i="1"/>
  <c r="K203" i="1"/>
  <c r="K202" i="1"/>
  <c r="K201" i="1"/>
  <c r="K200" i="1"/>
  <c r="K199" i="1"/>
  <c r="K198" i="1"/>
  <c r="K197" i="1"/>
  <c r="K196" i="1"/>
  <c r="K195" i="1"/>
  <c r="K194" i="1"/>
  <c r="K193" i="1"/>
  <c r="K192" i="1"/>
  <c r="K191" i="1"/>
  <c r="K190" i="1"/>
  <c r="K189" i="1"/>
  <c r="K188" i="1"/>
  <c r="K187" i="1"/>
  <c r="K186" i="1"/>
  <c r="K185" i="1"/>
  <c r="K184" i="1"/>
  <c r="K183" i="1"/>
  <c r="K182" i="1"/>
  <c r="Z215" i="1"/>
  <c r="D10" i="2"/>
  <c r="E10" i="2"/>
  <c r="F10" i="2"/>
  <c r="G10" i="2"/>
  <c r="H10" i="2"/>
  <c r="I10" i="2"/>
  <c r="J10" i="2"/>
  <c r="K10" i="2"/>
  <c r="L10" i="2"/>
  <c r="M10" i="2"/>
  <c r="N10" i="2"/>
  <c r="D219" i="1"/>
  <c r="L219" i="1" s="1"/>
  <c r="L210" i="1"/>
  <c r="L179" i="1"/>
  <c r="B250" i="1"/>
  <c r="L246" i="1"/>
  <c r="L237" i="1"/>
  <c r="L236" i="1"/>
  <c r="L235" i="1"/>
  <c r="L234" i="1"/>
  <c r="L233" i="1"/>
  <c r="L225" i="1"/>
  <c r="L224" i="1"/>
  <c r="L223" i="1"/>
  <c r="L222" i="1"/>
  <c r="L221" i="1"/>
  <c r="L220" i="1"/>
  <c r="L218" i="1"/>
  <c r="L217" i="1"/>
  <c r="L216" i="1"/>
  <c r="L215" i="1"/>
  <c r="L214" i="1"/>
  <c r="L213" i="1"/>
  <c r="L212" i="1"/>
  <c r="L211" i="1"/>
  <c r="L209" i="1"/>
  <c r="L208" i="1"/>
  <c r="L207" i="1"/>
  <c r="L206" i="1"/>
  <c r="L205" i="1"/>
  <c r="L204" i="1"/>
  <c r="L203" i="1"/>
  <c r="L202" i="1"/>
  <c r="L201" i="1"/>
  <c r="L200" i="1"/>
  <c r="L199" i="1"/>
  <c r="L198" i="1"/>
  <c r="L197" i="1"/>
  <c r="L196" i="1"/>
  <c r="L195" i="1"/>
  <c r="L194" i="1"/>
  <c r="L193" i="1"/>
  <c r="L192" i="1"/>
  <c r="L191" i="1"/>
  <c r="L190" i="1"/>
  <c r="L189" i="1"/>
  <c r="L188" i="1"/>
  <c r="L187" i="1"/>
  <c r="L186" i="1"/>
  <c r="L185" i="1"/>
  <c r="L184" i="1"/>
  <c r="L183" i="1"/>
  <c r="L182" i="1"/>
  <c r="L181" i="1"/>
  <c r="L180" i="1"/>
  <c r="N11" i="2"/>
  <c r="M11" i="2"/>
  <c r="L11" i="2"/>
  <c r="K11" i="2"/>
  <c r="J11" i="2"/>
  <c r="I11" i="2"/>
  <c r="H11" i="2"/>
  <c r="G11" i="2"/>
  <c r="F11" i="2"/>
  <c r="E11" i="2"/>
  <c r="AC237" i="1"/>
  <c r="K237" i="1"/>
  <c r="AC236" i="1"/>
  <c r="K236" i="1" s="1"/>
  <c r="G237" i="1"/>
  <c r="G236" i="1"/>
  <c r="D246" i="1"/>
  <c r="H168" i="1"/>
  <c r="Z214" i="1"/>
  <c r="Z212" i="1"/>
  <c r="Z216" i="1"/>
  <c r="Z213" i="1"/>
  <c r="Z217" i="1"/>
  <c r="Z218" i="1"/>
  <c r="Z211" i="1"/>
  <c r="O5" i="2"/>
  <c r="K211" i="1" l="1"/>
  <c r="AG21" i="2"/>
  <c r="Z186" i="1"/>
  <c r="AE186" i="1" s="1"/>
  <c r="Z207" i="1"/>
  <c r="AE207" i="1" s="1"/>
  <c r="Z198" i="1"/>
  <c r="AE198" i="1" s="1"/>
  <c r="Z205" i="1"/>
  <c r="AE205" i="1" s="1"/>
  <c r="Z201" i="1"/>
  <c r="AE201" i="1" s="1"/>
  <c r="Z185" i="1"/>
  <c r="AE185" i="1" s="1"/>
  <c r="Z181" i="1"/>
  <c r="AE181" i="1" s="1"/>
  <c r="Z208" i="1"/>
  <c r="AE208" i="1" s="1"/>
  <c r="Z204" i="1"/>
  <c r="AE204" i="1" s="1"/>
  <c r="Z188" i="1"/>
  <c r="AE188" i="1" s="1"/>
  <c r="Z203" i="1"/>
  <c r="AE203" i="1" s="1"/>
  <c r="Z202" i="1"/>
  <c r="AE202" i="1" s="1"/>
  <c r="Z183" i="1"/>
  <c r="AE183" i="1" s="1"/>
  <c r="Z195" i="1"/>
  <c r="AE195" i="1" s="1"/>
  <c r="AE240" i="1"/>
  <c r="H219" i="1"/>
  <c r="AH233" i="1"/>
  <c r="Z190" i="1"/>
  <c r="AE190" i="1" s="1"/>
  <c r="Z184" i="1"/>
  <c r="AE184" i="1" s="1"/>
  <c r="Z224" i="1"/>
  <c r="AE224" i="1" s="1"/>
  <c r="Z231" i="1"/>
  <c r="AE231" i="1" s="1"/>
  <c r="Z197" i="1"/>
  <c r="AE197" i="1" s="1"/>
  <c r="Z199" i="1"/>
  <c r="AE199" i="1" s="1"/>
  <c r="Z227" i="1"/>
  <c r="AE227" i="1" s="1"/>
  <c r="Z187" i="1"/>
  <c r="AE187" i="1" s="1"/>
  <c r="Z193" i="1"/>
  <c r="AE193" i="1" s="1"/>
  <c r="Z189" i="1"/>
  <c r="AE189" i="1" s="1"/>
  <c r="Z230" i="1"/>
  <c r="AE230" i="1" s="1"/>
  <c r="Z206" i="1"/>
  <c r="AE206" i="1" s="1"/>
  <c r="Z226" i="1"/>
  <c r="AE226" i="1" s="1"/>
  <c r="Z232" i="1"/>
  <c r="AE232" i="1" s="1"/>
  <c r="Z191" i="1"/>
  <c r="AE191" i="1" s="1"/>
  <c r="Z182" i="1"/>
  <c r="AE182" i="1" s="1"/>
  <c r="Z200" i="1"/>
  <c r="AE200" i="1" s="1"/>
  <c r="Z196" i="1"/>
  <c r="AE196" i="1" s="1"/>
  <c r="Z180" i="1"/>
  <c r="K180" i="1" s="1"/>
  <c r="Z209" i="1"/>
  <c r="AE209" i="1" s="1"/>
  <c r="Z192" i="1"/>
  <c r="AE192" i="1" s="1"/>
  <c r="AE248" i="1"/>
  <c r="K223" i="1"/>
  <c r="AC223" i="1" s="1"/>
  <c r="AC233" i="1" s="1"/>
  <c r="AE228" i="1"/>
  <c r="AE225" i="1"/>
  <c r="AE239" i="1"/>
  <c r="AE242" i="1"/>
  <c r="AE229" i="1"/>
  <c r="AE236" i="1"/>
  <c r="AE241" i="1"/>
  <c r="AE194" i="1"/>
  <c r="AE213" i="1"/>
  <c r="AE216" i="1"/>
  <c r="AE212" i="1"/>
  <c r="AE218" i="1"/>
  <c r="AE215" i="1"/>
  <c r="AE243" i="1"/>
  <c r="H246" i="1"/>
  <c r="AE211" i="1"/>
  <c r="AE217" i="1"/>
  <c r="AE238" i="1"/>
  <c r="AE214" i="1"/>
  <c r="AE244" i="1"/>
  <c r="AE223" i="1"/>
  <c r="AE237" i="1"/>
  <c r="AE245" i="1"/>
  <c r="H233" i="1"/>
  <c r="AD250" i="1"/>
  <c r="J248" i="1" l="1"/>
  <c r="I248" i="1" s="1"/>
  <c r="AE174" i="1"/>
  <c r="AE180" i="1"/>
  <c r="J219" i="1" s="1"/>
  <c r="AE233" i="1"/>
  <c r="J233" i="1" s="1"/>
  <c r="J246" i="1"/>
  <c r="J250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Vivo</author>
  </authors>
  <commentList>
    <comment ref="A222" authorId="0" shapeId="0" xr:uid="{00000000-0006-0000-0000-000001000000}">
      <text>
        <r>
          <rPr>
            <sz val="9"/>
            <color indexed="81"/>
            <rFont val="Tahoma"/>
            <family val="2"/>
            <charset val="204"/>
          </rPr>
          <t xml:space="preserve">мин.высота </t>
        </r>
        <r>
          <rPr>
            <b/>
            <sz val="9"/>
            <color indexed="81"/>
            <rFont val="Tahoma"/>
            <family val="2"/>
            <charset val="204"/>
          </rPr>
          <t>100мм</t>
        </r>
        <r>
          <rPr>
            <sz val="9"/>
            <color indexed="81"/>
            <rFont val="Tahoma"/>
            <family val="2"/>
            <charset val="204"/>
          </rPr>
          <t xml:space="preserve">
мак.высота </t>
        </r>
        <r>
          <rPr>
            <b/>
            <sz val="9"/>
            <color indexed="81"/>
            <rFont val="Tahoma"/>
            <family val="2"/>
            <charset val="204"/>
          </rPr>
          <t>960мм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u/>
            <sz val="9"/>
            <color indexed="12"/>
            <rFont val="Tahoma"/>
            <family val="2"/>
            <charset val="204"/>
          </rPr>
          <t xml:space="preserve">ширина фасада: </t>
        </r>
        <r>
          <rPr>
            <sz val="9"/>
            <color indexed="81"/>
            <rFont val="Tahoma"/>
            <family val="2"/>
            <charset val="204"/>
          </rPr>
          <t xml:space="preserve">
R200,300,700,1000 = </t>
        </r>
        <r>
          <rPr>
            <b/>
            <sz val="9"/>
            <color indexed="81"/>
            <rFont val="Tahoma"/>
            <family val="2"/>
            <charset val="204"/>
          </rPr>
          <t>538мм</t>
        </r>
        <r>
          <rPr>
            <sz val="9"/>
            <color indexed="81"/>
            <rFont val="Tahoma"/>
            <family val="2"/>
            <charset val="204"/>
          </rPr>
          <t xml:space="preserve">
R400 = </t>
        </r>
        <r>
          <rPr>
            <b/>
            <sz val="9"/>
            <color indexed="81"/>
            <rFont val="Tahoma"/>
            <family val="2"/>
            <charset val="204"/>
          </rPr>
          <t>690мм</t>
        </r>
        <r>
          <rPr>
            <sz val="9"/>
            <color indexed="81"/>
            <rFont val="Tahoma"/>
            <family val="2"/>
            <charset val="204"/>
          </rPr>
          <t xml:space="preserve">
S-240 =</t>
        </r>
        <r>
          <rPr>
            <b/>
            <sz val="9"/>
            <color indexed="81"/>
            <rFont val="Tahoma"/>
            <family val="2"/>
            <charset val="204"/>
          </rPr>
          <t xml:space="preserve"> 560мм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Vivo</author>
  </authors>
  <commentList>
    <comment ref="J1" authorId="0" shapeId="0" xr:uid="{00000000-0006-0000-0300-000001000000}">
      <text>
        <r>
          <rPr>
            <b/>
            <sz val="9"/>
            <color indexed="81"/>
            <rFont val="Tahoma"/>
            <family val="2"/>
            <charset val="204"/>
          </rPr>
          <t>+950грн-цена гладки ГН
+1200грн-цена фрез.ГН
+категория 1-3</t>
        </r>
      </text>
    </comment>
  </commentList>
</comments>
</file>

<file path=xl/sharedStrings.xml><?xml version="1.0" encoding="utf-8"?>
<sst xmlns="http://schemas.openxmlformats.org/spreadsheetml/2006/main" count="842" uniqueCount="446">
  <si>
    <t>№ дет.</t>
  </si>
  <si>
    <t>Ширина мм</t>
  </si>
  <si>
    <t>от</t>
  </si>
  <si>
    <t>Телефон:</t>
  </si>
  <si>
    <t>шт</t>
  </si>
  <si>
    <t>Да</t>
  </si>
  <si>
    <t>Цена</t>
  </si>
  <si>
    <t>Группа</t>
  </si>
  <si>
    <t>---</t>
  </si>
  <si>
    <t>Милан</t>
  </si>
  <si>
    <t>Авиньон</t>
  </si>
  <si>
    <t>Барселона</t>
  </si>
  <si>
    <t>Болонья</t>
  </si>
  <si>
    <t>Бостон</t>
  </si>
  <si>
    <t>Бристоль</t>
  </si>
  <si>
    <t>Глазго</t>
  </si>
  <si>
    <t>Женева</t>
  </si>
  <si>
    <t>Наполи</t>
  </si>
  <si>
    <t>София</t>
  </si>
  <si>
    <t>Тель-Авив</t>
  </si>
  <si>
    <t>Амстердам</t>
  </si>
  <si>
    <t>Ливерпуль</t>
  </si>
  <si>
    <t>Марсель</t>
  </si>
  <si>
    <t>Бремен</t>
  </si>
  <si>
    <t>Лондон</t>
  </si>
  <si>
    <t>Мюнхен</t>
  </si>
  <si>
    <t>Краков</t>
  </si>
  <si>
    <t>Равенна</t>
  </si>
  <si>
    <t>Честер</t>
  </si>
  <si>
    <t>Дублин</t>
  </si>
  <si>
    <t>Орлеан</t>
  </si>
  <si>
    <t>Ольвия</t>
  </si>
  <si>
    <t>нет</t>
  </si>
  <si>
    <t>D</t>
  </si>
  <si>
    <t>M</t>
  </si>
  <si>
    <t>S</t>
  </si>
  <si>
    <t xml:space="preserve"> </t>
  </si>
  <si>
    <t>пленка+толш</t>
  </si>
  <si>
    <t>Патина</t>
  </si>
  <si>
    <t>Фрезеровка</t>
  </si>
  <si>
    <t>B</t>
  </si>
  <si>
    <t>E</t>
  </si>
  <si>
    <t>G</t>
  </si>
  <si>
    <t>R10</t>
  </si>
  <si>
    <t>R2</t>
  </si>
  <si>
    <t>R25</t>
  </si>
  <si>
    <t>без</t>
  </si>
  <si>
    <t>Авиньон ГН</t>
  </si>
  <si>
    <t>Авиньон ВОГН</t>
  </si>
  <si>
    <t>Арка ГН</t>
  </si>
  <si>
    <t>Арка ВОГН</t>
  </si>
  <si>
    <t>Болонья ГН</t>
  </si>
  <si>
    <t>Болонья ВОГН</t>
  </si>
  <si>
    <t>Бостон ГН</t>
  </si>
  <si>
    <t>Бостон ВОГН</t>
  </si>
  <si>
    <t>Бристоль ГН</t>
  </si>
  <si>
    <t>Бристоль ВОГН</t>
  </si>
  <si>
    <t>Дуга ГН</t>
  </si>
  <si>
    <t>Дуга ВОГН</t>
  </si>
  <si>
    <t>Дуга массив ГН</t>
  </si>
  <si>
    <t>Дуга массив ВОГН</t>
  </si>
  <si>
    <t>Ливерпуль ГН</t>
  </si>
  <si>
    <t>Ливерпуль ВОГН</t>
  </si>
  <si>
    <t>Лондон ГН</t>
  </si>
  <si>
    <t>Лондон ВОГН</t>
  </si>
  <si>
    <t>Луиза ГН</t>
  </si>
  <si>
    <t>Луиза ВОГН</t>
  </si>
  <si>
    <t>Оникс ГН</t>
  </si>
  <si>
    <t>Оникс ВОГН</t>
  </si>
  <si>
    <t>Прага 140 ГН</t>
  </si>
  <si>
    <t>Прага 140 ВОГН</t>
  </si>
  <si>
    <t>Прага 70 ГН</t>
  </si>
  <si>
    <t>Прага 70 ВОГН</t>
  </si>
  <si>
    <t>Прямой ГН</t>
  </si>
  <si>
    <t>Прямой ВОГН</t>
  </si>
  <si>
    <t>Решетка ГН</t>
  </si>
  <si>
    <t>Решетка ВОГН</t>
  </si>
  <si>
    <t>Румба ГН</t>
  </si>
  <si>
    <t>Румба ВОГН</t>
  </si>
  <si>
    <t>София ГН</t>
  </si>
  <si>
    <t>София ВОГН</t>
  </si>
  <si>
    <t>Техно ГН</t>
  </si>
  <si>
    <t>Техно ВОГН</t>
  </si>
  <si>
    <t>Арка</t>
  </si>
  <si>
    <t>Дуга</t>
  </si>
  <si>
    <t>Дуга массив</t>
  </si>
  <si>
    <t>Лабиринт</t>
  </si>
  <si>
    <t>Лилия</t>
  </si>
  <si>
    <t>Луиза</t>
  </si>
  <si>
    <t>Модерн</t>
  </si>
  <si>
    <t>Оникс</t>
  </si>
  <si>
    <t>Прямой</t>
  </si>
  <si>
    <t>Решетка</t>
  </si>
  <si>
    <t>Румба</t>
  </si>
  <si>
    <t>Техно</t>
  </si>
  <si>
    <t>доп.прогр</t>
  </si>
  <si>
    <t>Высота гнутых</t>
  </si>
  <si>
    <t>Карнизы</t>
  </si>
  <si>
    <t>Балюстрада верхняя 0,7</t>
  </si>
  <si>
    <t>Балюстрада нижняя 0,7</t>
  </si>
  <si>
    <t>Балюстрада верхняя 1,0</t>
  </si>
  <si>
    <t>Балюстрада нижняя 1,0</t>
  </si>
  <si>
    <t>Балюстрада верхняя 1,4</t>
  </si>
  <si>
    <t>Балюстрада нижняя 1,4</t>
  </si>
  <si>
    <t>Балюстрада верхняя R гн</t>
  </si>
  <si>
    <t>Балюстрада нижняя R гн</t>
  </si>
  <si>
    <t>Балюстрада верхняя R вогн</t>
  </si>
  <si>
    <t>Балюстрада нижняя R вогн</t>
  </si>
  <si>
    <t>R300</t>
  </si>
  <si>
    <t>кв.м.</t>
  </si>
  <si>
    <t>ВСЕГО</t>
  </si>
  <si>
    <t>дек.планка Классик</t>
  </si>
  <si>
    <t>дек.планка Колонна</t>
  </si>
  <si>
    <t>дек.планка Модерн</t>
  </si>
  <si>
    <t>дек.планка Орлеан</t>
  </si>
  <si>
    <t>дек.планка Париж</t>
  </si>
  <si>
    <t>дек.планка Рим</t>
  </si>
  <si>
    <t>нестанд.высота</t>
  </si>
  <si>
    <t>Площ.</t>
  </si>
  <si>
    <t>Сумма</t>
  </si>
  <si>
    <t>Простая</t>
  </si>
  <si>
    <t>Сложная</t>
  </si>
  <si>
    <t>Сложность</t>
  </si>
  <si>
    <t>проверка радиуса</t>
  </si>
  <si>
    <t>10 (2ст)</t>
  </si>
  <si>
    <t>16 (2ст)</t>
  </si>
  <si>
    <t>19 (2ст)</t>
  </si>
  <si>
    <t>30 (2ст)</t>
  </si>
  <si>
    <t>38 (2ст)</t>
  </si>
  <si>
    <t>Скрыть пустые строки</t>
  </si>
  <si>
    <t>дек.планка Позитано</t>
  </si>
  <si>
    <t>new</t>
  </si>
  <si>
    <t>Колонна 1</t>
  </si>
  <si>
    <t>Колонна 2</t>
  </si>
  <si>
    <t>дек.накладка Орлеан</t>
  </si>
  <si>
    <t>дек.накладка Марсель</t>
  </si>
  <si>
    <t>дек.накладка Тулон</t>
  </si>
  <si>
    <t>дек.накладка София</t>
  </si>
  <si>
    <t>дек.накладка Верона</t>
  </si>
  <si>
    <t>дек.накладка Олимпмя</t>
  </si>
  <si>
    <t>дек.накладка Соната 1</t>
  </si>
  <si>
    <t>дек.накладка Соната 2</t>
  </si>
  <si>
    <t>дек.накладка Соната 3</t>
  </si>
  <si>
    <t>дек.накладка Рондо 1</t>
  </si>
  <si>
    <t>дек.накладка Рондо 2</t>
  </si>
  <si>
    <t>Стен.панель Левадия</t>
  </si>
  <si>
    <t>Стен.панель Кайзер</t>
  </si>
  <si>
    <t>Прага 70</t>
  </si>
  <si>
    <t>Прага 140</t>
  </si>
  <si>
    <t>Кельн 51</t>
  </si>
  <si>
    <t>Кельн 71</t>
  </si>
  <si>
    <t>Классик 51</t>
  </si>
  <si>
    <t>Классик 71</t>
  </si>
  <si>
    <t>золото</t>
  </si>
  <si>
    <t>Цена Краски</t>
  </si>
  <si>
    <t>№ по RAL/NCS/WCP:</t>
  </si>
  <si>
    <t>матовая</t>
  </si>
  <si>
    <t>глянец</t>
  </si>
  <si>
    <t>Орлеан (без рисунка)</t>
  </si>
  <si>
    <t>карниз Универсальный 2м.п. (h38)</t>
  </si>
  <si>
    <t>карниз Классический 2м.п. (h38)</t>
  </si>
  <si>
    <t>карниз Монтана 2м.п. (h38)</t>
  </si>
  <si>
    <t>карниз Британия 2м.п. (h96)</t>
  </si>
  <si>
    <t>карниз Классический R гн (h38)</t>
  </si>
  <si>
    <t>карниз Классический R вогн (h38)</t>
  </si>
  <si>
    <t>карниз Монтана R гн (h38)</t>
  </si>
  <si>
    <t>карниз Монтана R вогн (h38)</t>
  </si>
  <si>
    <t>свет.планка Нижняя 2м.п. (h38)</t>
  </si>
  <si>
    <t>свет.планка Родос 2м.п. (h60)</t>
  </si>
  <si>
    <t>свет.планка Сиена 2м.п. (h60)</t>
  </si>
  <si>
    <t>свет.планка Нижняя R гн (h38)</t>
  </si>
  <si>
    <t>свет.планка Нижняя R вогн (h38)</t>
  </si>
  <si>
    <t>свет.планка Родос R гн (h60)</t>
  </si>
  <si>
    <t>свет.планка Родос R вогн (h60)</t>
  </si>
  <si>
    <t>свет.планка Сиена R гн (h60)</t>
  </si>
  <si>
    <t>свет.планка Сиена R вогн (h60)</t>
  </si>
  <si>
    <t>фриз Левадия 2м.п. (h180)</t>
  </si>
  <si>
    <t>фриз Родос 2м.п. (h100)</t>
  </si>
  <si>
    <t>фриз Левадия R гн (h180)</t>
  </si>
  <si>
    <t>фриз Левадия R вогн (h180)</t>
  </si>
  <si>
    <t>фриз Родос R гн (h100)</t>
  </si>
  <si>
    <t>фриз Родос R вогн (h100)</t>
  </si>
  <si>
    <t>Нарвик (без декора)</t>
  </si>
  <si>
    <t>Тулон</t>
  </si>
  <si>
    <t>Тулон ВОГН</t>
  </si>
  <si>
    <t>Тулон ГН</t>
  </si>
  <si>
    <t>Di Portes</t>
  </si>
  <si>
    <t>Риан</t>
  </si>
  <si>
    <t>Лион</t>
  </si>
  <si>
    <t>Савона</t>
  </si>
  <si>
    <t>дек.накладка Риан</t>
  </si>
  <si>
    <t>Радиусный фасад 16 гн (F800 тип2)</t>
  </si>
  <si>
    <t>Радиусный фасад 19 гн (F800 тип2)</t>
  </si>
  <si>
    <t>R200</t>
  </si>
  <si>
    <t>R400</t>
  </si>
  <si>
    <t>R700(1)</t>
  </si>
  <si>
    <t>R1000(1)</t>
  </si>
  <si>
    <t>S-240</t>
  </si>
  <si>
    <t>R700(2)</t>
  </si>
  <si>
    <t>R1000(2)</t>
  </si>
  <si>
    <t>Колонна верхняя RH</t>
  </si>
  <si>
    <t>Ольвия S-обр</t>
  </si>
  <si>
    <t>Грати (квадрат)</t>
  </si>
  <si>
    <t>Грати (ромб)</t>
  </si>
  <si>
    <t>Грати</t>
  </si>
  <si>
    <t>Колонна нижняя RH</t>
  </si>
  <si>
    <t>Ширина гнутых</t>
  </si>
  <si>
    <t>Болонья S-обр</t>
  </si>
  <si>
    <t>Проверка ширины</t>
  </si>
  <si>
    <t>Адель</t>
  </si>
  <si>
    <t>Монако</t>
  </si>
  <si>
    <t>Римини</t>
  </si>
  <si>
    <t>Тенея</t>
  </si>
  <si>
    <t>дек.накладка Петергоф</t>
  </si>
  <si>
    <t>new 2017</t>
  </si>
  <si>
    <t>Анже</t>
  </si>
  <si>
    <t>Гамма</t>
  </si>
  <si>
    <t>дек.планка Адель</t>
  </si>
  <si>
    <t>дек.планка Анже</t>
  </si>
  <si>
    <t>дек.планка Довиль</t>
  </si>
  <si>
    <t>Довиль</t>
  </si>
  <si>
    <t>Петра</t>
  </si>
  <si>
    <t>Мягкий угол фарб. 1,8м.п.</t>
  </si>
  <si>
    <t>Профиль под скрытую ручку фарб. 2м.п.</t>
  </si>
  <si>
    <t>Довиль ГН</t>
  </si>
  <si>
    <t>Брюссель</t>
  </si>
  <si>
    <t>Барселона ГН</t>
  </si>
  <si>
    <t>Женева ГН</t>
  </si>
  <si>
    <t>-</t>
  </si>
  <si>
    <t>Авиньон S-обр</t>
  </si>
  <si>
    <t>Адель ГН</t>
  </si>
  <si>
    <t>Амальфи S-обр</t>
  </si>
  <si>
    <t>Анже ГН</t>
  </si>
  <si>
    <t>Арка S-обр</t>
  </si>
  <si>
    <t>Бостон S-обр</t>
  </si>
  <si>
    <t>Бремен ГН</t>
  </si>
  <si>
    <t>Бристоль S-обр</t>
  </si>
  <si>
    <t>Довиль S-обр</t>
  </si>
  <si>
    <t>Довиль ВОГН</t>
  </si>
  <si>
    <t>Дублин ГН</t>
  </si>
  <si>
    <t>Дуга S-обр</t>
  </si>
  <si>
    <t>Дуга массив S-обр</t>
  </si>
  <si>
    <t>Краков S-обр</t>
  </si>
  <si>
    <t>Краков ГН</t>
  </si>
  <si>
    <t>Лилия S-обр</t>
  </si>
  <si>
    <t>Лилия ВОГН</t>
  </si>
  <si>
    <t>Лилия ГН</t>
  </si>
  <si>
    <t>Лондон S-обр</t>
  </si>
  <si>
    <t>Луиза S-обр</t>
  </si>
  <si>
    <t>Монако S-обр</t>
  </si>
  <si>
    <t>Монако ГН</t>
  </si>
  <si>
    <t>Наполи S-обр</t>
  </si>
  <si>
    <t>Наполи ВОГН</t>
  </si>
  <si>
    <t>Наполи ГН</t>
  </si>
  <si>
    <t>Оникс S-обр</t>
  </si>
  <si>
    <t>Петра S-обр</t>
  </si>
  <si>
    <t>Петра ГН</t>
  </si>
  <si>
    <t>Прага 70 S-обр</t>
  </si>
  <si>
    <t>Прага 140 S-обр</t>
  </si>
  <si>
    <t>Прямой S-обр</t>
  </si>
  <si>
    <t>Равенна ГН</t>
  </si>
  <si>
    <t>Решетка S-обр</t>
  </si>
  <si>
    <t>Римини ГН</t>
  </si>
  <si>
    <t>София S-обр</t>
  </si>
  <si>
    <t>Тенея S-обр</t>
  </si>
  <si>
    <t>Тенея ГН</t>
  </si>
  <si>
    <t>Техно S-обр</t>
  </si>
  <si>
    <t>Тулон S-обр</t>
  </si>
  <si>
    <t>спец</t>
  </si>
  <si>
    <t>эскиз</t>
  </si>
  <si>
    <t>Барселона ВОГН (витрина)</t>
  </si>
  <si>
    <t>Женева ВОГН (витрина)</t>
  </si>
  <si>
    <t>свет.планка Британия 2м.п. (h50)</t>
  </si>
  <si>
    <t>Краков ВОГН (витрина)</t>
  </si>
  <si>
    <t>Монако ВОГН (витрина)</t>
  </si>
  <si>
    <t>Тенея ВОГН (витрина)</t>
  </si>
  <si>
    <t>нет в прайсе</t>
  </si>
  <si>
    <t>Дублин ВОГН</t>
  </si>
  <si>
    <t>Цена за доплату менее 1м.кв.</t>
  </si>
  <si>
    <t>new 2018</t>
  </si>
  <si>
    <t>Анкона +Р</t>
  </si>
  <si>
    <t>Беладжио</t>
  </si>
  <si>
    <t>Бергамо</t>
  </si>
  <si>
    <t>Бергамо ГН</t>
  </si>
  <si>
    <t>Виченца</t>
  </si>
  <si>
    <t>Павия +Р</t>
  </si>
  <si>
    <t>Тартона +Р</t>
  </si>
  <si>
    <t>Доп.стом. Грн/шт</t>
  </si>
  <si>
    <t>Альфа (тип 1)</t>
  </si>
  <si>
    <t>Альфа (тип 2)</t>
  </si>
  <si>
    <t>new 2019</t>
  </si>
  <si>
    <t>Гауда</t>
  </si>
  <si>
    <t>Грас</t>
  </si>
  <si>
    <t>Ельче</t>
  </si>
  <si>
    <t>Лилль</t>
  </si>
  <si>
    <t>Монс</t>
  </si>
  <si>
    <t>Тулуза</t>
  </si>
  <si>
    <t>Ельче S-обр</t>
  </si>
  <si>
    <t>Ельче ВОГН</t>
  </si>
  <si>
    <t>Ельче ГН</t>
  </si>
  <si>
    <t>Грас (без декора)</t>
  </si>
  <si>
    <t>new 2020</t>
  </si>
  <si>
    <t>Брунико</t>
  </si>
  <si>
    <t>Ультимо</t>
  </si>
  <si>
    <t>Монти</t>
  </si>
  <si>
    <t>Пезаро</t>
  </si>
  <si>
    <t>Пескара</t>
  </si>
  <si>
    <t>Риволи</t>
  </si>
  <si>
    <t>Тренто</t>
  </si>
  <si>
    <t>Монти ГН</t>
  </si>
  <si>
    <t>Пезаро ГН</t>
  </si>
  <si>
    <t>карниз Вена 2м.п. (h68)</t>
  </si>
  <si>
    <t>карниз Вена R вогн (h68)</t>
  </si>
  <si>
    <t>карниз Вена R гн (h68)</t>
  </si>
  <si>
    <t>Альба</t>
  </si>
  <si>
    <t>Сидней 45</t>
  </si>
  <si>
    <t>Сидней 90</t>
  </si>
  <si>
    <t>Тандем</t>
  </si>
  <si>
    <t>Меликано</t>
  </si>
  <si>
    <t>(Н)</t>
  </si>
  <si>
    <t>16гн</t>
  </si>
  <si>
    <t>16гн 2</t>
  </si>
  <si>
    <t>19гн</t>
  </si>
  <si>
    <t>19гн 2</t>
  </si>
  <si>
    <t>Новый прайс-лист</t>
  </si>
  <si>
    <t>Старый прайс-лист</t>
  </si>
  <si>
    <t>Альфа (тип 1) ГН</t>
  </si>
  <si>
    <t>Угловая меб.планка фарб. 0,72м.п.</t>
  </si>
  <si>
    <t>металлик (матовая)</t>
  </si>
  <si>
    <t>Бланк замовлення</t>
  </si>
  <si>
    <t>(фарба)</t>
  </si>
  <si>
    <t>Постачальник</t>
  </si>
  <si>
    <t>Замовник:</t>
  </si>
  <si>
    <t>Коментар до замовлення</t>
  </si>
  <si>
    <t>Патинування</t>
  </si>
  <si>
    <t>Тип фарби:</t>
  </si>
  <si>
    <t>Термін виготовлення:</t>
  </si>
  <si>
    <t>матова</t>
  </si>
  <si>
    <t>глянець</t>
  </si>
  <si>
    <t>металік (матова)</t>
  </si>
  <si>
    <t>Висота мм</t>
  </si>
  <si>
    <t>Кіл-ть</t>
  </si>
  <si>
    <t>Віт-рина</t>
  </si>
  <si>
    <t>Малюнок</t>
  </si>
  <si>
    <t>Проф. мал.</t>
  </si>
  <si>
    <t>Торець</t>
  </si>
  <si>
    <t>Дет.по кресл.</t>
  </si>
  <si>
    <t>Примітки</t>
  </si>
  <si>
    <t>ПРЯМІ</t>
  </si>
  <si>
    <t>товщина:</t>
  </si>
  <si>
    <t>Всього:</t>
  </si>
  <si>
    <t>площа МДФ (м2):</t>
  </si>
  <si>
    <t>Сума:</t>
  </si>
  <si>
    <t>РАДІУСНІ</t>
  </si>
  <si>
    <t>Декоративні елементи</t>
  </si>
  <si>
    <t>Од.вим.</t>
  </si>
  <si>
    <t>Радіус</t>
  </si>
  <si>
    <t>Рекомендації щодо роботи з бланком замовлення</t>
  </si>
  <si>
    <t>1. Бланк замовлення дозволяє розрахувати роздрібну суму замовлення на фарбовані фасади МДФ, згідно з прайс-листом.</t>
  </si>
  <si>
    <t>2. Перед початком роботи рекомендується заповнити поле "Замовник", "Телефон" та зробити резервну копію бланка.</t>
  </si>
  <si>
    <t>3. При збереженні бланка замовлення з даними на замовлення, ім'я файлу має містити Замовника та №замовлення</t>
  </si>
  <si>
    <t>Приклад: Іванов №1432.xls</t>
  </si>
  <si>
    <t>4. Внесення даних до бланку замовлення здійснюється у полях виділених кольором:</t>
  </si>
  <si>
    <t xml:space="preserve"> - поля для внесення даних у ручну</t>
  </si>
  <si>
    <t xml:space="preserve"> - поля, дані в яких вибираються зі списку можливих значень</t>
  </si>
  <si>
    <t>5. Після внесення всіх вихідних даних на замовлення, можна приховати порожні комірки.</t>
  </si>
  <si>
    <t>У комірці L178, у меню автофільтра вибрати "Приховати порожні рядки"</t>
  </si>
  <si>
    <t>Щоб відобразилися всі комірки, у меню автофільтра вибрати (Всі)</t>
  </si>
  <si>
    <t>Ланс (без ромбів)</t>
  </si>
  <si>
    <t>Ольвія</t>
  </si>
  <si>
    <t>Амальфі</t>
  </si>
  <si>
    <t>Ольвія ВОГН</t>
  </si>
  <si>
    <t>Ольвія ГН</t>
  </si>
  <si>
    <t>Арка двойна</t>
  </si>
  <si>
    <t>дек.планка Универсальна</t>
  </si>
  <si>
    <t>Дуга двойна</t>
  </si>
  <si>
    <t>Арка двойна S-обр</t>
  </si>
  <si>
    <t>Арка двойна ВОГН</t>
  </si>
  <si>
    <t>Арка двойна ГН</t>
  </si>
  <si>
    <t>Дуга двойна S-обр</t>
  </si>
  <si>
    <t>Дуга двойна ГН</t>
  </si>
  <si>
    <t>Дуга двона ВОГН</t>
  </si>
  <si>
    <t>Кантри (лівий)</t>
  </si>
  <si>
    <t>Санторини (лівий)</t>
  </si>
  <si>
    <t>Троя (лівий)</t>
  </si>
  <si>
    <t>Фортуна (лівий)</t>
  </si>
  <si>
    <t>Кантри S-обр (лівий)</t>
  </si>
  <si>
    <t>Кантри ВОГН (лівий)</t>
  </si>
  <si>
    <t>Кантри ГН (лівий)</t>
  </si>
  <si>
    <t>Санторини S-обр (лівий)</t>
  </si>
  <si>
    <t>Санторини ВОГН (лівий)</t>
  </si>
  <si>
    <t>Санторини ГН (лівий)</t>
  </si>
  <si>
    <t>Троя ВОГН (лівий)</t>
  </si>
  <si>
    <t>Троя ГН (лівий)</t>
  </si>
  <si>
    <t>Фортуна S-обр (лівий)</t>
  </si>
  <si>
    <t>Фортуна ВОГН (лівий)</t>
  </si>
  <si>
    <t>Фортуна ГН (лівий)</t>
  </si>
  <si>
    <t>Кантри (правий)</t>
  </si>
  <si>
    <t>Санторини (правий)</t>
  </si>
  <si>
    <t>Троя (правий)</t>
  </si>
  <si>
    <t>Фортуна (правий)</t>
  </si>
  <si>
    <t>Кантри S-обр (правий)</t>
  </si>
  <si>
    <t>Кантри ВОГН (правий)</t>
  </si>
  <si>
    <t>Кантри ГН (правий)</t>
  </si>
  <si>
    <t>Санторини S-обр (правий)</t>
  </si>
  <si>
    <t>Санторини ВОГН (правий)</t>
  </si>
  <si>
    <t>Санторини ГН (правий)</t>
  </si>
  <si>
    <t>Троя ВОГН (правий)</t>
  </si>
  <si>
    <t>Троя ГН (правий)</t>
  </si>
  <si>
    <t>Фортуна S-обр (правий)</t>
  </si>
  <si>
    <t>Фортуна ВОГН (правий)</t>
  </si>
  <si>
    <t>Фортуна ГН (правий)</t>
  </si>
  <si>
    <t>ДуЕт (лівий)</t>
  </si>
  <si>
    <t>ДуЕт (правий)</t>
  </si>
  <si>
    <t>МаЕстро</t>
  </si>
  <si>
    <t>Стен.панель Ельба</t>
  </si>
  <si>
    <t>ДуЕт S-обр (лівий)</t>
  </si>
  <si>
    <t>ДуЕт S-обр (правий)</t>
  </si>
  <si>
    <t>ДуЕт ВОГН (лівий)</t>
  </si>
  <si>
    <t>ДуЕт ВОГН (правий)</t>
  </si>
  <si>
    <t>ДуЕт ГН (лівий)</t>
  </si>
  <si>
    <t>ДуЕт ГН (правий)</t>
  </si>
  <si>
    <t>МаЕстро S-обр</t>
  </si>
  <si>
    <t>МаЕстро ВОГН</t>
  </si>
  <si>
    <t>МаЕстро ГН</t>
  </si>
  <si>
    <t>Амальфі ГН</t>
  </si>
  <si>
    <t>Бремен (без декору)</t>
  </si>
  <si>
    <t>Ніцца</t>
  </si>
  <si>
    <t>Ніцца ГН</t>
  </si>
  <si>
    <t>Ніцца ВОГН (витрина)</t>
  </si>
  <si>
    <t>Прямие</t>
  </si>
  <si>
    <t>Бутилочница</t>
  </si>
  <si>
    <t>Фигурний Болонья (лівий)</t>
  </si>
  <si>
    <t>Фигурний Болонья (правий)</t>
  </si>
  <si>
    <t>Фигурний Марсель (лівий)</t>
  </si>
  <si>
    <t>Фигурний Марсель (правий)</t>
  </si>
  <si>
    <t>Фигурний София (лівий)</t>
  </si>
  <si>
    <t>Фигурний София (правий)</t>
  </si>
  <si>
    <t>Фигурний Тулон (лівий)</t>
  </si>
  <si>
    <t>Фигурний Тулон (правий)</t>
  </si>
  <si>
    <t>Гнутие</t>
  </si>
  <si>
    <t>червоне золото</t>
  </si>
  <si>
    <t>мідь</t>
  </si>
  <si>
    <t>срібро</t>
  </si>
  <si>
    <t>Спецефект блискітки срібра</t>
  </si>
  <si>
    <t>Прайс-лист від 13.10.2025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</si>
</sst>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\ _₽_-;\-* #,##0.00\ _₽_-;_-* &quot;-&quot;??\ _₽_-;_-@_-"/>
    <numFmt numFmtId="164" formatCode="0.0"/>
    <numFmt numFmtId="165" formatCode="_-* #,##0\ _₽_-;\-* #,##0\ _₽_-;_-* &quot;-&quot;??\ _₽_-;_-@_-"/>
    <numFmt numFmtId="166" formatCode="[$-FC22]d\ mmmm\ yyyy&quot; р.&quot;;@"/>
  </numFmts>
  <fonts count="29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8"/>
      <name val="Arial Cyr"/>
      <charset val="204"/>
    </font>
    <font>
      <b/>
      <sz val="8"/>
      <name val="Arial Cyr"/>
      <charset val="204"/>
    </font>
    <font>
      <sz val="9"/>
      <name val="Arial Cyr"/>
      <charset val="204"/>
    </font>
    <font>
      <b/>
      <sz val="12"/>
      <name val="Arial Cyr"/>
      <charset val="204"/>
    </font>
    <font>
      <sz val="10"/>
      <color indexed="10"/>
      <name val="Arial Cyr"/>
      <charset val="204"/>
    </font>
    <font>
      <b/>
      <sz val="10"/>
      <color indexed="10"/>
      <name val="Arial Cyr"/>
      <charset val="204"/>
    </font>
    <font>
      <sz val="10"/>
      <color indexed="22"/>
      <name val="Arial Cyr"/>
      <charset val="204"/>
    </font>
    <font>
      <b/>
      <sz val="10"/>
      <color indexed="22"/>
      <name val="Arial Cyr"/>
      <charset val="204"/>
    </font>
    <font>
      <sz val="8"/>
      <color indexed="22"/>
      <name val="Arial Cyr"/>
      <charset val="204"/>
    </font>
    <font>
      <b/>
      <sz val="8"/>
      <color indexed="22"/>
      <name val="Arial Cyr"/>
      <charset val="204"/>
    </font>
    <font>
      <b/>
      <sz val="10"/>
      <color indexed="12"/>
      <name val="Arial Cyr"/>
      <charset val="204"/>
    </font>
    <font>
      <sz val="8"/>
      <color indexed="9"/>
      <name val="Arial Cyr"/>
      <charset val="204"/>
    </font>
    <font>
      <b/>
      <sz val="8"/>
      <color indexed="10"/>
      <name val="Arial Cyr"/>
      <charset val="204"/>
    </font>
    <font>
      <i/>
      <sz val="8"/>
      <color indexed="12"/>
      <name val="Arial Cyr"/>
      <charset val="204"/>
    </font>
    <font>
      <b/>
      <sz val="10"/>
      <color indexed="9"/>
      <name val="Arial Cyr"/>
      <charset val="204"/>
    </font>
    <font>
      <sz val="10"/>
      <name val="Arial Cyr"/>
      <charset val="204"/>
    </font>
    <font>
      <i/>
      <sz val="10"/>
      <color indexed="10"/>
      <name val="Arial Cyr"/>
      <charset val="204"/>
    </font>
    <font>
      <sz val="10"/>
      <color indexed="12"/>
      <name val="Arial Cyr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u/>
      <sz val="9"/>
      <color indexed="12"/>
      <name val="Tahoma"/>
      <family val="2"/>
      <charset val="204"/>
    </font>
    <font>
      <sz val="10"/>
      <color indexed="9"/>
      <name val="Arial Cyr"/>
      <charset val="204"/>
    </font>
    <font>
      <sz val="10"/>
      <color rgb="FFFF0000"/>
      <name val="Arial Cyr"/>
      <charset val="204"/>
    </font>
    <font>
      <b/>
      <sz val="10"/>
      <color rgb="FFFF0000"/>
      <name val="Arial Cyr"/>
      <charset val="204"/>
    </font>
    <font>
      <sz val="10"/>
      <color theme="0" tint="-0.34998626667073579"/>
      <name val="Arial Cyr"/>
      <charset val="204"/>
    </font>
    <font>
      <sz val="10"/>
      <color rgb="FF0000FF"/>
      <name val="Arial Cyr"/>
      <charset val="204"/>
    </font>
  </fonts>
  <fills count="1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hair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8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/>
    <xf numFmtId="0" fontId="0" fillId="0" borderId="1" xfId="0" applyBorder="1" applyAlignment="1">
      <alignment vertical="center"/>
    </xf>
    <xf numFmtId="0" fontId="4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vertical="center"/>
    </xf>
    <xf numFmtId="0" fontId="0" fillId="0" borderId="4" xfId="0" applyBorder="1"/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0" borderId="8" xfId="0" applyBorder="1" applyAlignment="1">
      <alignment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left" vertical="center"/>
    </xf>
    <xf numFmtId="2" fontId="2" fillId="0" borderId="1" xfId="0" applyNumberFormat="1" applyFont="1" applyBorder="1" applyAlignment="1">
      <alignment horizontal="center" vertical="center"/>
    </xf>
    <xf numFmtId="43" fontId="6" fillId="0" borderId="9" xfId="0" applyNumberFormat="1" applyFont="1" applyBorder="1"/>
    <xf numFmtId="0" fontId="2" fillId="2" borderId="0" xfId="0" applyFont="1" applyFill="1"/>
    <xf numFmtId="0" fontId="0" fillId="0" borderId="0" xfId="0" quotePrefix="1"/>
    <xf numFmtId="0" fontId="0" fillId="3" borderId="0" xfId="0" applyFill="1"/>
    <xf numFmtId="0" fontId="6" fillId="0" borderId="0" xfId="0" applyFont="1" applyAlignment="1">
      <alignment horizontal="right"/>
    </xf>
    <xf numFmtId="0" fontId="5" fillId="4" borderId="10" xfId="0" applyFont="1" applyFill="1" applyBorder="1" applyAlignment="1" applyProtection="1">
      <alignment horizontal="center" vertical="center"/>
      <protection locked="0"/>
    </xf>
    <xf numFmtId="0" fontId="5" fillId="4" borderId="11" xfId="0" applyFont="1" applyFill="1" applyBorder="1" applyAlignment="1" applyProtection="1">
      <alignment horizontal="center" vertical="center"/>
      <protection locked="0"/>
    </xf>
    <xf numFmtId="0" fontId="5" fillId="4" borderId="12" xfId="0" applyFont="1" applyFill="1" applyBorder="1" applyAlignment="1" applyProtection="1">
      <alignment horizontal="center" vertical="center"/>
      <protection locked="0"/>
    </xf>
    <xf numFmtId="0" fontId="5" fillId="4" borderId="13" xfId="0" applyFont="1" applyFill="1" applyBorder="1" applyAlignment="1" applyProtection="1">
      <alignment horizontal="center" vertical="center"/>
      <protection locked="0"/>
    </xf>
    <xf numFmtId="0" fontId="5" fillId="4" borderId="14" xfId="0" applyFont="1" applyFill="1" applyBorder="1" applyAlignment="1" applyProtection="1">
      <alignment vertical="center"/>
      <protection locked="0"/>
    </xf>
    <xf numFmtId="0" fontId="5" fillId="4" borderId="15" xfId="0" applyFont="1" applyFill="1" applyBorder="1" applyAlignment="1" applyProtection="1">
      <alignment vertical="center"/>
      <protection locked="0"/>
    </xf>
    <xf numFmtId="0" fontId="5" fillId="4" borderId="16" xfId="0" applyFont="1" applyFill="1" applyBorder="1" applyAlignment="1" applyProtection="1">
      <alignment vertical="center"/>
      <protection locked="0"/>
    </xf>
    <xf numFmtId="0" fontId="2" fillId="0" borderId="1" xfId="0" applyFont="1" applyBorder="1" applyAlignment="1" applyProtection="1">
      <alignment horizontal="center" vertical="center"/>
      <protection hidden="1"/>
    </xf>
    <xf numFmtId="0" fontId="1" fillId="0" borderId="8" xfId="0" applyFont="1" applyFill="1" applyBorder="1" applyAlignment="1" applyProtection="1">
      <alignment horizontal="left" vertical="center"/>
      <protection hidden="1"/>
    </xf>
    <xf numFmtId="0" fontId="0" fillId="0" borderId="1" xfId="0" applyBorder="1" applyAlignment="1" applyProtection="1">
      <alignment horizontal="right" vertical="center"/>
      <protection hidden="1"/>
    </xf>
    <xf numFmtId="0" fontId="0" fillId="0" borderId="8" xfId="0" applyBorder="1" applyAlignment="1" applyProtection="1">
      <alignment horizontal="right" vertical="center"/>
      <protection hidden="1"/>
    </xf>
    <xf numFmtId="2" fontId="2" fillId="0" borderId="3" xfId="0" applyNumberFormat="1" applyFont="1" applyBorder="1" applyAlignment="1" applyProtection="1">
      <alignment horizontal="center" vertical="center"/>
      <protection hidden="1"/>
    </xf>
    <xf numFmtId="43" fontId="2" fillId="0" borderId="3" xfId="1" applyFont="1" applyBorder="1" applyAlignment="1" applyProtection="1">
      <alignment vertical="center"/>
      <protection hidden="1"/>
    </xf>
    <xf numFmtId="0" fontId="1" fillId="0" borderId="3" xfId="0" applyFont="1" applyFill="1" applyBorder="1" applyAlignment="1" applyProtection="1">
      <alignment horizontal="left" vertical="center"/>
      <protection hidden="1"/>
    </xf>
    <xf numFmtId="0" fontId="0" fillId="0" borderId="2" xfId="0" applyBorder="1" applyAlignment="1" applyProtection="1">
      <alignment horizontal="right" vertical="center"/>
      <protection hidden="1"/>
    </xf>
    <xf numFmtId="2" fontId="2" fillId="0" borderId="2" xfId="0" applyNumberFormat="1" applyFont="1" applyFill="1" applyBorder="1" applyAlignment="1" applyProtection="1">
      <alignment horizontal="center" vertical="center"/>
      <protection hidden="1"/>
    </xf>
    <xf numFmtId="165" fontId="5" fillId="4" borderId="11" xfId="1" applyNumberFormat="1" applyFont="1" applyFill="1" applyBorder="1" applyAlignment="1" applyProtection="1">
      <alignment horizontal="left" vertical="center"/>
      <protection locked="0"/>
    </xf>
    <xf numFmtId="0" fontId="7" fillId="3" borderId="0" xfId="0" applyFont="1" applyFill="1"/>
    <xf numFmtId="0" fontId="5" fillId="4" borderId="17" xfId="0" applyFont="1" applyFill="1" applyBorder="1" applyAlignment="1" applyProtection="1">
      <alignment horizontal="center" vertical="center"/>
      <protection locked="0"/>
    </xf>
    <xf numFmtId="0" fontId="5" fillId="4" borderId="18" xfId="0" applyFont="1" applyFill="1" applyBorder="1" applyAlignment="1" applyProtection="1">
      <alignment vertical="center"/>
      <protection locked="0"/>
    </xf>
    <xf numFmtId="0" fontId="5" fillId="0" borderId="19" xfId="0" applyFont="1" applyBorder="1" applyAlignment="1">
      <alignment horizontal="center" vertical="center"/>
    </xf>
    <xf numFmtId="0" fontId="5" fillId="4" borderId="4" xfId="0" applyFont="1" applyFill="1" applyBorder="1" applyAlignment="1" applyProtection="1">
      <alignment horizontal="center" vertical="center"/>
      <protection locked="0"/>
    </xf>
    <xf numFmtId="0" fontId="0" fillId="2" borderId="0" xfId="0" applyFill="1"/>
    <xf numFmtId="43" fontId="2" fillId="0" borderId="3" xfId="1" applyFont="1" applyBorder="1" applyAlignment="1" applyProtection="1">
      <alignment horizontal="center" vertical="center"/>
      <protection hidden="1"/>
    </xf>
    <xf numFmtId="0" fontId="0" fillId="0" borderId="0" xfId="0" applyProtection="1">
      <protection hidden="1"/>
    </xf>
    <xf numFmtId="0" fontId="9" fillId="0" borderId="0" xfId="0" applyFont="1" applyProtection="1">
      <protection hidden="1"/>
    </xf>
    <xf numFmtId="0" fontId="2" fillId="0" borderId="0" xfId="0" applyFont="1" applyAlignment="1" applyProtection="1">
      <alignment vertical="center"/>
      <protection hidden="1"/>
    </xf>
    <xf numFmtId="0" fontId="0" fillId="0" borderId="0" xfId="0" applyAlignment="1" applyProtection="1">
      <alignment vertical="center"/>
      <protection hidden="1"/>
    </xf>
    <xf numFmtId="0" fontId="3" fillId="0" borderId="0" xfId="0" applyFont="1" applyAlignment="1" applyProtection="1">
      <alignment horizontal="center" vertical="center" wrapText="1"/>
      <protection hidden="1"/>
    </xf>
    <xf numFmtId="0" fontId="4" fillId="0" borderId="0" xfId="0" applyFont="1" applyAlignment="1" applyProtection="1">
      <alignment horizontal="center" vertical="center"/>
      <protection hidden="1"/>
    </xf>
    <xf numFmtId="0" fontId="2" fillId="0" borderId="0" xfId="0" applyFont="1" applyProtection="1">
      <protection hidden="1"/>
    </xf>
    <xf numFmtId="165" fontId="3" fillId="0" borderId="0" xfId="1" applyNumberFormat="1" applyFont="1" applyProtection="1">
      <protection hidden="1"/>
    </xf>
    <xf numFmtId="165" fontId="11" fillId="0" borderId="0" xfId="1" applyNumberFormat="1" applyFont="1" applyProtection="1">
      <protection hidden="1"/>
    </xf>
    <xf numFmtId="0" fontId="2" fillId="0" borderId="0" xfId="0" applyFont="1" applyAlignment="1">
      <alignment horizontal="right"/>
    </xf>
    <xf numFmtId="0" fontId="0" fillId="0" borderId="0" xfId="0" applyAlignment="1">
      <alignment horizontal="right"/>
    </xf>
    <xf numFmtId="0" fontId="2" fillId="2" borderId="0" xfId="0" applyFont="1" applyFill="1" applyAlignment="1">
      <alignment horizontal="right"/>
    </xf>
    <xf numFmtId="0" fontId="0" fillId="0" borderId="0" xfId="0" applyFill="1" applyAlignment="1">
      <alignment horizontal="right"/>
    </xf>
    <xf numFmtId="0" fontId="0" fillId="0" borderId="0" xfId="0" applyAlignment="1">
      <alignment horizontal="left" vertical="center"/>
    </xf>
    <xf numFmtId="0" fontId="7" fillId="0" borderId="0" xfId="0" applyFont="1"/>
    <xf numFmtId="165" fontId="11" fillId="0" borderId="0" xfId="1" applyNumberFormat="1" applyFont="1" applyAlignment="1" applyProtection="1">
      <alignment vertical="center"/>
      <protection hidden="1"/>
    </xf>
    <xf numFmtId="0" fontId="0" fillId="0" borderId="8" xfId="0" applyBorder="1" applyAlignment="1">
      <alignment horizontal="center" vertical="center"/>
    </xf>
    <xf numFmtId="0" fontId="0" fillId="2" borderId="0" xfId="0" applyFill="1" applyAlignment="1">
      <alignment horizontal="center"/>
    </xf>
    <xf numFmtId="43" fontId="9" fillId="0" borderId="0" xfId="1" applyFont="1" applyProtection="1">
      <protection hidden="1"/>
    </xf>
    <xf numFmtId="0" fontId="10" fillId="0" borderId="0" xfId="0" applyFont="1" applyAlignment="1" applyProtection="1">
      <alignment vertical="center"/>
      <protection hidden="1"/>
    </xf>
    <xf numFmtId="43" fontId="10" fillId="0" borderId="0" xfId="1" applyFont="1" applyAlignment="1" applyProtection="1">
      <alignment vertical="center"/>
      <protection hidden="1"/>
    </xf>
    <xf numFmtId="0" fontId="9" fillId="0" borderId="0" xfId="0" applyFont="1" applyAlignment="1" applyProtection="1">
      <alignment vertical="center"/>
      <protection hidden="1"/>
    </xf>
    <xf numFmtId="43" fontId="9" fillId="0" borderId="0" xfId="1" applyFont="1" applyAlignment="1" applyProtection="1">
      <alignment vertical="center"/>
      <protection hidden="1"/>
    </xf>
    <xf numFmtId="0" fontId="11" fillId="0" borderId="0" xfId="0" applyFont="1" applyAlignment="1" applyProtection="1">
      <alignment horizontal="center" vertical="center" wrapText="1"/>
      <protection hidden="1"/>
    </xf>
    <xf numFmtId="43" fontId="11" fillId="0" borderId="0" xfId="1" applyFont="1" applyAlignment="1" applyProtection="1">
      <alignment horizontal="center" vertical="center" wrapText="1"/>
      <protection hidden="1"/>
    </xf>
    <xf numFmtId="0" fontId="9" fillId="0" borderId="0" xfId="0" applyFont="1" applyAlignment="1" applyProtection="1">
      <alignment horizontal="center" vertical="center"/>
      <protection hidden="1"/>
    </xf>
    <xf numFmtId="0" fontId="12" fillId="0" borderId="0" xfId="0" applyFont="1" applyAlignment="1" applyProtection="1">
      <alignment horizontal="center" vertical="center"/>
      <protection hidden="1"/>
    </xf>
    <xf numFmtId="43" fontId="12" fillId="0" borderId="0" xfId="1" applyFont="1" applyAlignment="1" applyProtection="1">
      <alignment horizontal="center" vertical="center"/>
      <protection hidden="1"/>
    </xf>
    <xf numFmtId="0" fontId="10" fillId="0" borderId="0" xfId="0" applyFont="1" applyProtection="1">
      <protection hidden="1"/>
    </xf>
    <xf numFmtId="165" fontId="15" fillId="5" borderId="2" xfId="1" applyNumberFormat="1" applyFont="1" applyFill="1" applyBorder="1" applyAlignment="1" applyProtection="1">
      <alignment horizontal="center" vertical="center" wrapText="1"/>
      <protection hidden="1"/>
    </xf>
    <xf numFmtId="165" fontId="11" fillId="0" borderId="0" xfId="1" applyNumberFormat="1" applyFont="1" applyFill="1" applyProtection="1">
      <protection hidden="1"/>
    </xf>
    <xf numFmtId="165" fontId="11" fillId="0" borderId="0" xfId="1" applyNumberFormat="1" applyFont="1" applyFill="1" applyAlignment="1" applyProtection="1">
      <alignment vertical="center"/>
      <protection hidden="1"/>
    </xf>
    <xf numFmtId="165" fontId="15" fillId="0" borderId="0" xfId="1" applyNumberFormat="1" applyFont="1" applyFill="1" applyBorder="1" applyAlignment="1" applyProtection="1">
      <alignment horizontal="center" vertical="center" wrapText="1"/>
      <protection hidden="1"/>
    </xf>
    <xf numFmtId="165" fontId="14" fillId="0" borderId="0" xfId="1" applyNumberFormat="1" applyFont="1" applyFill="1" applyAlignment="1" applyProtection="1">
      <alignment vertical="center"/>
      <protection hidden="1"/>
    </xf>
    <xf numFmtId="165" fontId="14" fillId="0" borderId="0" xfId="1" applyNumberFormat="1" applyFont="1" applyFill="1" applyAlignment="1" applyProtection="1">
      <alignment horizontal="center" vertical="center" wrapText="1"/>
      <protection hidden="1"/>
    </xf>
    <xf numFmtId="0" fontId="9" fillId="3" borderId="0" xfId="0" applyFont="1" applyFill="1" applyProtection="1">
      <protection hidden="1"/>
    </xf>
    <xf numFmtId="165" fontId="14" fillId="0" borderId="0" xfId="1" applyNumberFormat="1" applyFont="1" applyAlignment="1" applyProtection="1">
      <alignment horizontal="left" vertical="center"/>
      <protection hidden="1"/>
    </xf>
    <xf numFmtId="165" fontId="14" fillId="0" borderId="0" xfId="1" applyNumberFormat="1" applyFont="1" applyAlignment="1" applyProtection="1">
      <alignment horizontal="left" vertical="center" wrapText="1"/>
      <protection hidden="1"/>
    </xf>
    <xf numFmtId="165" fontId="14" fillId="0" borderId="0" xfId="1" applyNumberFormat="1" applyFont="1" applyProtection="1">
      <protection hidden="1"/>
    </xf>
    <xf numFmtId="0" fontId="5" fillId="6" borderId="17" xfId="0" applyFont="1" applyFill="1" applyBorder="1" applyAlignment="1" applyProtection="1">
      <alignment horizontal="center" vertical="center"/>
      <protection locked="0"/>
    </xf>
    <xf numFmtId="0" fontId="5" fillId="6" borderId="20" xfId="0" applyFont="1" applyFill="1" applyBorder="1" applyAlignment="1" applyProtection="1">
      <alignment vertical="center"/>
      <protection locked="0"/>
    </xf>
    <xf numFmtId="0" fontId="5" fillId="6" borderId="4" xfId="0" applyFont="1" applyFill="1" applyBorder="1" applyAlignment="1" applyProtection="1">
      <alignment horizontal="center" vertical="center"/>
      <protection locked="0"/>
    </xf>
    <xf numFmtId="0" fontId="3" fillId="6" borderId="20" xfId="0" applyFont="1" applyFill="1" applyBorder="1" applyAlignment="1" applyProtection="1">
      <alignment vertical="center"/>
      <protection locked="0"/>
    </xf>
    <xf numFmtId="0" fontId="5" fillId="6" borderId="11" xfId="0" applyFont="1" applyFill="1" applyBorder="1" applyAlignment="1" applyProtection="1">
      <alignment horizontal="center" vertical="center"/>
      <protection locked="0"/>
    </xf>
    <xf numFmtId="0" fontId="5" fillId="6" borderId="21" xfId="0" applyFont="1" applyFill="1" applyBorder="1" applyAlignment="1" applyProtection="1">
      <alignment vertical="center"/>
      <protection locked="0"/>
    </xf>
    <xf numFmtId="0" fontId="5" fillId="6" borderId="22" xfId="0" applyFont="1" applyFill="1" applyBorder="1" applyAlignment="1" applyProtection="1">
      <alignment vertical="center"/>
      <protection locked="0"/>
    </xf>
    <xf numFmtId="0" fontId="5" fillId="6" borderId="10" xfId="0" applyFont="1" applyFill="1" applyBorder="1" applyAlignment="1" applyProtection="1">
      <alignment horizontal="center" vertical="center"/>
      <protection locked="0"/>
    </xf>
    <xf numFmtId="0" fontId="3" fillId="6" borderId="21" xfId="0" applyFont="1" applyFill="1" applyBorder="1" applyAlignment="1" applyProtection="1">
      <alignment vertical="center"/>
      <protection locked="0"/>
    </xf>
    <xf numFmtId="0" fontId="5" fillId="6" borderId="13" xfId="0" applyFont="1" applyFill="1" applyBorder="1" applyAlignment="1" applyProtection="1">
      <alignment horizontal="center" vertical="center"/>
      <protection locked="0"/>
    </xf>
    <xf numFmtId="0" fontId="5" fillId="6" borderId="21" xfId="0" applyFont="1" applyFill="1" applyBorder="1" applyAlignment="1" applyProtection="1">
      <alignment horizontal="center" vertical="center"/>
      <protection locked="0"/>
    </xf>
    <xf numFmtId="0" fontId="5" fillId="6" borderId="23" xfId="0" applyFont="1" applyFill="1" applyBorder="1" applyAlignment="1" applyProtection="1">
      <alignment horizontal="center" vertical="center"/>
      <protection locked="0"/>
    </xf>
    <xf numFmtId="0" fontId="5" fillId="6" borderId="24" xfId="0" applyFont="1" applyFill="1" applyBorder="1" applyAlignment="1" applyProtection="1">
      <alignment horizontal="center" vertical="center"/>
      <protection locked="0"/>
    </xf>
    <xf numFmtId="0" fontId="0" fillId="4" borderId="2" xfId="0" applyFill="1" applyBorder="1"/>
    <xf numFmtId="0" fontId="0" fillId="6" borderId="2" xfId="0" applyFill="1" applyBorder="1"/>
    <xf numFmtId="0" fontId="8" fillId="0" borderId="0" xfId="0" applyFont="1"/>
    <xf numFmtId="0" fontId="16" fillId="0" borderId="0" xfId="0" applyFont="1" applyAlignment="1" applyProtection="1">
      <alignment horizontal="right"/>
      <protection hidden="1"/>
    </xf>
    <xf numFmtId="0" fontId="6" fillId="0" borderId="0" xfId="0" applyFont="1"/>
    <xf numFmtId="0" fontId="0" fillId="0" borderId="0" xfId="0" applyAlignment="1">
      <alignment horizontal="left" indent="1"/>
    </xf>
    <xf numFmtId="0" fontId="5" fillId="6" borderId="25" xfId="0" applyFont="1" applyFill="1" applyBorder="1" applyAlignment="1" applyProtection="1">
      <alignment horizontal="center" vertical="center"/>
      <protection locked="0"/>
    </xf>
    <xf numFmtId="0" fontId="5" fillId="6" borderId="22" xfId="0" applyFont="1" applyFill="1" applyBorder="1" applyAlignment="1" applyProtection="1">
      <alignment horizontal="center" vertical="center"/>
      <protection locked="0"/>
    </xf>
    <xf numFmtId="0" fontId="16" fillId="0" borderId="0" xfId="0" applyFont="1"/>
    <xf numFmtId="0" fontId="17" fillId="0" borderId="0" xfId="0" applyFont="1" applyBorder="1" applyAlignment="1" applyProtection="1">
      <alignment horizontal="right" vertical="center"/>
      <protection locked="0"/>
    </xf>
    <xf numFmtId="0" fontId="7" fillId="0" borderId="0" xfId="0" applyFont="1" applyAlignment="1"/>
    <xf numFmtId="0" fontId="2" fillId="0" borderId="26" xfId="0" applyFont="1" applyBorder="1" applyAlignment="1">
      <alignment horizontal="center" vertical="center"/>
    </xf>
    <xf numFmtId="43" fontId="8" fillId="0" borderId="0" xfId="1" applyFont="1"/>
    <xf numFmtId="43" fontId="19" fillId="0" borderId="0" xfId="1" applyFont="1" applyAlignment="1">
      <alignment horizontal="right"/>
    </xf>
    <xf numFmtId="0" fontId="20" fillId="0" borderId="0" xfId="0" applyFont="1"/>
    <xf numFmtId="0" fontId="9" fillId="0" borderId="0" xfId="0" applyFont="1" applyFill="1" applyProtection="1">
      <protection hidden="1"/>
    </xf>
    <xf numFmtId="0" fontId="1" fillId="0" borderId="0" xfId="0" applyFont="1" applyFill="1"/>
    <xf numFmtId="0" fontId="0" fillId="0" borderId="1" xfId="0" applyBorder="1"/>
    <xf numFmtId="0" fontId="0" fillId="0" borderId="8" xfId="0" applyBorder="1"/>
    <xf numFmtId="0" fontId="5" fillId="0" borderId="27" xfId="0" applyFont="1" applyFill="1" applyBorder="1" applyAlignment="1" applyProtection="1">
      <alignment horizontal="center" vertical="center"/>
    </xf>
    <xf numFmtId="0" fontId="5" fillId="0" borderId="22" xfId="0" applyFont="1" applyFill="1" applyBorder="1" applyAlignment="1" applyProtection="1">
      <alignment horizontal="center" vertical="center"/>
    </xf>
    <xf numFmtId="0" fontId="5" fillId="0" borderId="28" xfId="0" applyFont="1" applyFill="1" applyBorder="1" applyAlignment="1" applyProtection="1">
      <alignment horizontal="center" vertical="center"/>
    </xf>
    <xf numFmtId="0" fontId="24" fillId="0" borderId="0" xfId="0" applyFont="1" applyAlignment="1" applyProtection="1">
      <alignment vertical="center"/>
      <protection hidden="1"/>
    </xf>
    <xf numFmtId="0" fontId="1" fillId="5" borderId="0" xfId="0" applyFont="1" applyFill="1"/>
    <xf numFmtId="0" fontId="9" fillId="0" borderId="29" xfId="0" applyFont="1" applyBorder="1" applyProtection="1">
      <protection hidden="1"/>
    </xf>
    <xf numFmtId="0" fontId="9" fillId="0" borderId="30" xfId="0" applyFont="1" applyBorder="1" applyProtection="1">
      <protection hidden="1"/>
    </xf>
    <xf numFmtId="0" fontId="9" fillId="0" borderId="29" xfId="0" applyFont="1" applyBorder="1" applyAlignment="1" applyProtection="1">
      <alignment horizontal="center"/>
      <protection hidden="1"/>
    </xf>
    <xf numFmtId="0" fontId="9" fillId="0" borderId="30" xfId="0" applyFont="1" applyBorder="1" applyAlignment="1" applyProtection="1">
      <alignment horizontal="center"/>
      <protection hidden="1"/>
    </xf>
    <xf numFmtId="0" fontId="9" fillId="0" borderId="31" xfId="0" applyFont="1" applyBorder="1" applyAlignment="1" applyProtection="1">
      <alignment horizontal="center"/>
      <protection hidden="1"/>
    </xf>
    <xf numFmtId="0" fontId="9" fillId="0" borderId="0" xfId="0" applyFont="1" applyFill="1" applyBorder="1" applyAlignment="1" applyProtection="1">
      <alignment horizontal="center"/>
      <protection hidden="1"/>
    </xf>
    <xf numFmtId="0" fontId="1" fillId="3" borderId="0" xfId="0" applyFont="1" applyFill="1" applyProtection="1">
      <protection hidden="1"/>
    </xf>
    <xf numFmtId="164" fontId="5" fillId="4" borderId="32" xfId="0" applyNumberFormat="1" applyFont="1" applyFill="1" applyBorder="1" applyAlignment="1" applyProtection="1">
      <alignment horizontal="center" vertical="center"/>
      <protection locked="0"/>
    </xf>
    <xf numFmtId="164" fontId="5" fillId="4" borderId="10" xfId="0" applyNumberFormat="1" applyFont="1" applyFill="1" applyBorder="1" applyAlignment="1" applyProtection="1">
      <alignment horizontal="center" vertical="center"/>
      <protection locked="0"/>
    </xf>
    <xf numFmtId="164" fontId="5" fillId="4" borderId="12" xfId="0" applyNumberFormat="1" applyFont="1" applyFill="1" applyBorder="1" applyAlignment="1" applyProtection="1">
      <alignment horizontal="center" vertical="center"/>
      <protection locked="0"/>
    </xf>
    <xf numFmtId="43" fontId="9" fillId="0" borderId="30" xfId="1" applyFont="1" applyBorder="1" applyAlignment="1" applyProtection="1">
      <alignment horizontal="center"/>
      <protection hidden="1"/>
    </xf>
    <xf numFmtId="43" fontId="9" fillId="0" borderId="31" xfId="1" applyFont="1" applyBorder="1" applyAlignment="1" applyProtection="1">
      <alignment horizontal="center"/>
      <protection hidden="1"/>
    </xf>
    <xf numFmtId="43" fontId="1" fillId="0" borderId="0" xfId="1" applyFont="1" applyFill="1"/>
    <xf numFmtId="0" fontId="1" fillId="0" borderId="0" xfId="0" applyFont="1" applyFill="1" applyAlignment="1">
      <alignment horizontal="center"/>
    </xf>
    <xf numFmtId="0" fontId="1" fillId="0" borderId="0" xfId="0" quotePrefix="1" applyFont="1" applyFill="1"/>
    <xf numFmtId="43" fontId="1" fillId="0" borderId="0" xfId="0" applyNumberFormat="1" applyFont="1" applyFill="1"/>
    <xf numFmtId="0" fontId="7" fillId="3" borderId="0" xfId="0" applyFont="1" applyFill="1" applyProtection="1">
      <protection hidden="1"/>
    </xf>
    <xf numFmtId="43" fontId="8" fillId="0" borderId="0" xfId="1" applyFont="1" applyProtection="1">
      <protection hidden="1"/>
    </xf>
    <xf numFmtId="0" fontId="8" fillId="0" borderId="0" xfId="0" applyFont="1" applyProtection="1">
      <protection hidden="1"/>
    </xf>
    <xf numFmtId="0" fontId="1" fillId="3" borderId="0" xfId="0" applyFont="1" applyFill="1"/>
    <xf numFmtId="0" fontId="1" fillId="0" borderId="0" xfId="0" applyFont="1"/>
    <xf numFmtId="0" fontId="1" fillId="0" borderId="0" xfId="0" applyFont="1" applyFill="1" applyAlignment="1">
      <alignment horizontal="right"/>
    </xf>
    <xf numFmtId="0" fontId="0" fillId="0" borderId="0" xfId="0" applyFont="1" applyFill="1"/>
    <xf numFmtId="0" fontId="25" fillId="0" borderId="0" xfId="0" applyFont="1" applyFill="1"/>
    <xf numFmtId="0" fontId="0" fillId="0" borderId="0" xfId="0" applyNumberFormat="1" applyFont="1" applyFill="1"/>
    <xf numFmtId="0" fontId="0" fillId="7" borderId="0" xfId="0" applyFont="1" applyFill="1"/>
    <xf numFmtId="0" fontId="0" fillId="0" borderId="0" xfId="0" applyFont="1"/>
    <xf numFmtId="0" fontId="0" fillId="3" borderId="0" xfId="0" applyFont="1" applyFill="1"/>
    <xf numFmtId="0" fontId="1" fillId="9" borderId="0" xfId="0" applyFont="1" applyFill="1"/>
    <xf numFmtId="0" fontId="25" fillId="10" borderId="0" xfId="0" applyFont="1" applyFill="1"/>
    <xf numFmtId="0" fontId="7" fillId="0" borderId="8" xfId="0" applyFont="1" applyBorder="1" applyAlignment="1">
      <alignment horizontal="right" vertical="center"/>
    </xf>
    <xf numFmtId="0" fontId="4" fillId="0" borderId="29" xfId="0" applyFont="1" applyBorder="1" applyAlignment="1">
      <alignment horizontal="center" vertical="center" wrapText="1"/>
    </xf>
    <xf numFmtId="0" fontId="8" fillId="6" borderId="9" xfId="0" applyFont="1" applyFill="1" applyBorder="1" applyAlignment="1" applyProtection="1">
      <alignment horizontal="center" vertical="center"/>
      <protection locked="0"/>
    </xf>
    <xf numFmtId="0" fontId="5" fillId="6" borderId="33" xfId="0" applyFont="1" applyFill="1" applyBorder="1" applyAlignment="1" applyProtection="1">
      <alignment horizontal="center" vertical="center"/>
      <protection locked="0"/>
    </xf>
    <xf numFmtId="0" fontId="8" fillId="6" borderId="9" xfId="0" applyFont="1" applyFill="1" applyBorder="1" applyAlignment="1" applyProtection="1">
      <alignment horizontal="left" vertical="center"/>
      <protection locked="0"/>
    </xf>
    <xf numFmtId="0" fontId="25" fillId="0" borderId="0" xfId="0" applyFont="1" applyFill="1" applyAlignment="1">
      <alignment horizontal="right"/>
    </xf>
    <xf numFmtId="0" fontId="25" fillId="10" borderId="0" xfId="0" applyFont="1" applyFill="1" applyAlignment="1">
      <alignment horizontal="right"/>
    </xf>
    <xf numFmtId="43" fontId="0" fillId="0" borderId="0" xfId="0" applyNumberFormat="1" applyAlignment="1" applyProtection="1">
      <alignment vertical="center"/>
      <protection hidden="1"/>
    </xf>
    <xf numFmtId="0" fontId="26" fillId="0" borderId="0" xfId="0" applyFont="1"/>
    <xf numFmtId="43" fontId="0" fillId="0" borderId="0" xfId="1" applyFont="1"/>
    <xf numFmtId="0" fontId="27" fillId="0" borderId="0" xfId="0" applyFont="1"/>
    <xf numFmtId="43" fontId="0" fillId="0" borderId="0" xfId="0" applyNumberFormat="1"/>
    <xf numFmtId="0" fontId="0" fillId="11" borderId="0" xfId="0" applyFill="1"/>
    <xf numFmtId="0" fontId="2" fillId="11" borderId="0" xfId="0" applyFont="1" applyFill="1"/>
    <xf numFmtId="0" fontId="25" fillId="11" borderId="0" xfId="0" applyFont="1" applyFill="1"/>
    <xf numFmtId="0" fontId="0" fillId="11" borderId="0" xfId="0" applyFill="1" applyAlignment="1">
      <alignment horizontal="right"/>
    </xf>
    <xf numFmtId="0" fontId="2" fillId="11" borderId="0" xfId="0" applyFont="1" applyFill="1" applyAlignment="1">
      <alignment horizontal="right"/>
    </xf>
    <xf numFmtId="0" fontId="25" fillId="11" borderId="0" xfId="0" applyFont="1" applyFill="1" applyAlignment="1">
      <alignment horizontal="right"/>
    </xf>
    <xf numFmtId="43" fontId="25" fillId="0" borderId="0" xfId="1" applyFont="1" applyFill="1"/>
    <xf numFmtId="0" fontId="0" fillId="12" borderId="0" xfId="0" applyFill="1"/>
    <xf numFmtId="0" fontId="28" fillId="12" borderId="0" xfId="0" applyFont="1" applyFill="1"/>
    <xf numFmtId="0" fontId="25" fillId="12" borderId="0" xfId="0" applyFont="1" applyFill="1"/>
    <xf numFmtId="0" fontId="0" fillId="0" borderId="37" xfId="0" applyBorder="1" applyAlignment="1">
      <alignment horizontal="center" vertical="center" shrinkToFit="1"/>
    </xf>
    <xf numFmtId="0" fontId="5" fillId="6" borderId="34" xfId="0" applyFont="1" applyFill="1" applyBorder="1" applyAlignment="1" applyProtection="1">
      <alignment horizontal="left" vertical="center"/>
      <protection locked="0"/>
    </xf>
    <xf numFmtId="0" fontId="0" fillId="6" borderId="32" xfId="0" applyFill="1" applyBorder="1" applyAlignment="1" applyProtection="1">
      <alignment horizontal="left" vertical="center"/>
      <protection locked="0"/>
    </xf>
    <xf numFmtId="0" fontId="0" fillId="6" borderId="27" xfId="0" applyFill="1" applyBorder="1" applyAlignment="1" applyProtection="1">
      <alignment horizontal="left" vertical="center"/>
      <protection locked="0"/>
    </xf>
    <xf numFmtId="0" fontId="5" fillId="6" borderId="11" xfId="0" applyFont="1" applyFill="1" applyBorder="1" applyAlignment="1" applyProtection="1">
      <alignment horizontal="left" vertical="center"/>
      <protection locked="0"/>
    </xf>
    <xf numFmtId="0" fontId="0" fillId="6" borderId="10" xfId="0" applyFill="1" applyBorder="1" applyAlignment="1" applyProtection="1">
      <alignment horizontal="left" vertical="center"/>
      <protection locked="0"/>
    </xf>
    <xf numFmtId="0" fontId="0" fillId="6" borderId="22" xfId="0" applyFill="1" applyBorder="1" applyAlignment="1" applyProtection="1">
      <alignment horizontal="left" vertical="center"/>
      <protection locked="0"/>
    </xf>
    <xf numFmtId="166" fontId="2" fillId="0" borderId="0" xfId="0" applyNumberFormat="1" applyFont="1" applyAlignment="1">
      <alignment horizontal="left" vertical="center"/>
    </xf>
    <xf numFmtId="166" fontId="0" fillId="0" borderId="0" xfId="0" applyNumberFormat="1" applyAlignment="1">
      <alignment horizontal="left" vertical="center"/>
    </xf>
    <xf numFmtId="0" fontId="13" fillId="8" borderId="1" xfId="0" applyFont="1" applyFill="1" applyBorder="1" applyAlignment="1">
      <alignment horizontal="center" vertical="center"/>
    </xf>
    <xf numFmtId="0" fontId="13" fillId="8" borderId="3" xfId="0" applyFont="1" applyFill="1" applyBorder="1" applyAlignment="1">
      <alignment horizontal="center" vertical="center"/>
    </xf>
    <xf numFmtId="0" fontId="2" fillId="4" borderId="35" xfId="0" applyFont="1" applyFill="1" applyBorder="1" applyAlignment="1" applyProtection="1">
      <alignment vertical="center"/>
      <protection locked="0"/>
    </xf>
    <xf numFmtId="0" fontId="0" fillId="4" borderId="35" xfId="0" applyFill="1" applyBorder="1" applyAlignment="1" applyProtection="1">
      <alignment vertical="center"/>
      <protection locked="0"/>
    </xf>
    <xf numFmtId="0" fontId="2" fillId="0" borderId="0" xfId="0" applyFont="1" applyBorder="1" applyAlignment="1"/>
    <xf numFmtId="0" fontId="0" fillId="0" borderId="0" xfId="0" applyBorder="1" applyAlignment="1"/>
    <xf numFmtId="0" fontId="0" fillId="4" borderId="8" xfId="0" applyFill="1" applyBorder="1" applyAlignment="1" applyProtection="1">
      <alignment horizontal="left" vertical="center"/>
      <protection locked="0"/>
    </xf>
    <xf numFmtId="0" fontId="0" fillId="0" borderId="8" xfId="0" applyBorder="1" applyAlignment="1" applyProtection="1">
      <alignment vertical="center"/>
      <protection locked="0"/>
    </xf>
    <xf numFmtId="0" fontId="2" fillId="4" borderId="1" xfId="0" applyFont="1" applyFill="1" applyBorder="1" applyAlignment="1" applyProtection="1">
      <alignment horizontal="left" vertical="center"/>
      <protection locked="0"/>
    </xf>
    <xf numFmtId="0" fontId="18" fillId="4" borderId="8" xfId="0" applyFont="1" applyFill="1" applyBorder="1" applyAlignment="1" applyProtection="1">
      <alignment horizontal="left" vertical="center"/>
      <protection locked="0"/>
    </xf>
    <xf numFmtId="0" fontId="18" fillId="4" borderId="3" xfId="0" applyFont="1" applyFill="1" applyBorder="1" applyAlignment="1" applyProtection="1">
      <alignment horizontal="left" vertical="center"/>
      <protection locked="0"/>
    </xf>
    <xf numFmtId="0" fontId="0" fillId="0" borderId="0" xfId="0" applyAlignment="1" applyProtection="1">
      <alignment horizontal="right" vertical="center" wrapText="1"/>
      <protection hidden="1"/>
    </xf>
    <xf numFmtId="0" fontId="0" fillId="0" borderId="36" xfId="0" applyBorder="1"/>
    <xf numFmtId="0" fontId="0" fillId="0" borderId="0" xfId="0"/>
    <xf numFmtId="0" fontId="0" fillId="4" borderId="29" xfId="0" applyFill="1" applyBorder="1" applyAlignment="1" applyProtection="1">
      <alignment vertical="center" wrapText="1"/>
      <protection locked="0"/>
    </xf>
    <xf numFmtId="0" fontId="0" fillId="4" borderId="31" xfId="0" applyFill="1" applyBorder="1" applyAlignment="1" applyProtection="1">
      <alignment vertical="center" wrapText="1"/>
      <protection locked="0"/>
    </xf>
    <xf numFmtId="0" fontId="13" fillId="8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17" fillId="0" borderId="0" xfId="0" applyFont="1" applyBorder="1" applyAlignment="1" applyProtection="1">
      <alignment horizontal="right" vertical="center"/>
      <protection locked="0"/>
    </xf>
    <xf numFmtId="0" fontId="5" fillId="6" borderId="13" xfId="0" applyFont="1" applyFill="1" applyBorder="1" applyAlignment="1" applyProtection="1">
      <alignment horizontal="left" vertical="center"/>
      <protection locked="0"/>
    </xf>
    <xf numFmtId="0" fontId="0" fillId="6" borderId="12" xfId="0" applyFill="1" applyBorder="1" applyAlignment="1" applyProtection="1">
      <alignment horizontal="left" vertical="center"/>
      <protection locked="0"/>
    </xf>
    <xf numFmtId="0" fontId="0" fillId="6" borderId="28" xfId="0" applyFill="1" applyBorder="1" applyAlignment="1" applyProtection="1">
      <alignment horizontal="left" vertical="center"/>
      <protection locked="0"/>
    </xf>
    <xf numFmtId="0" fontId="0" fillId="0" borderId="1" xfId="0" applyBorder="1" applyAlignment="1">
      <alignment vertical="center"/>
    </xf>
  </cellXfs>
  <cellStyles count="2">
    <cellStyle name="Обычный" xfId="0" builtinId="0"/>
    <cellStyle name="Финансовый" xfId="1" builtinId="3"/>
  </cellStyles>
  <dxfs count="10">
    <dxf>
      <font>
        <b val="0"/>
        <i/>
        <condense val="0"/>
        <extend val="0"/>
        <color indexed="10"/>
      </font>
      <fill>
        <patternFill>
          <bgColor indexed="34"/>
        </patternFill>
      </fill>
    </dxf>
    <dxf>
      <font>
        <b val="0"/>
        <i/>
        <condense val="0"/>
        <extend val="0"/>
        <color indexed="9"/>
      </font>
      <fill>
        <patternFill patternType="none">
          <bgColor indexed="65"/>
        </patternFill>
      </fill>
    </dxf>
    <dxf>
      <font>
        <b val="0"/>
        <i/>
        <condense val="0"/>
        <extend val="0"/>
        <color indexed="10"/>
      </font>
      <fill>
        <patternFill>
          <bgColor indexed="13"/>
        </patternFill>
      </fill>
    </dxf>
    <dxf>
      <font>
        <b val="0"/>
        <i/>
        <condense val="0"/>
        <extend val="0"/>
        <color indexed="10"/>
      </font>
      <fill>
        <patternFill>
          <bgColor indexed="13"/>
        </patternFill>
      </fill>
    </dxf>
    <dxf>
      <font>
        <b val="0"/>
        <i/>
        <condense val="0"/>
        <extend val="0"/>
        <color indexed="10"/>
      </font>
      <fill>
        <patternFill>
          <bgColor indexed="13"/>
        </patternFill>
      </fill>
    </dxf>
    <dxf>
      <font>
        <b val="0"/>
        <i/>
        <condense val="0"/>
        <extend val="0"/>
        <color indexed="10"/>
      </font>
      <fill>
        <patternFill>
          <bgColor indexed="13"/>
        </patternFill>
      </fill>
    </dxf>
    <dxf>
      <font>
        <b val="0"/>
        <i/>
        <condense val="0"/>
        <extend val="0"/>
        <color indexed="10"/>
      </font>
      <fill>
        <patternFill>
          <bgColor indexed="13"/>
        </patternFill>
      </fill>
    </dxf>
    <dxf>
      <font>
        <b val="0"/>
        <i/>
        <condense val="0"/>
        <extend val="0"/>
        <color indexed="10"/>
      </font>
      <fill>
        <patternFill>
          <bgColor indexed="13"/>
        </patternFill>
      </fill>
    </dxf>
    <dxf>
      <fill>
        <patternFill>
          <bgColor indexed="47"/>
        </patternFill>
      </fill>
    </dxf>
    <dxf>
      <font>
        <b val="0"/>
        <i/>
        <condense val="0"/>
        <extend val="0"/>
        <color indexed="10"/>
      </font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Drop" dropLines="50" dropStyle="combo" dx="22" fmlaLink="$F$176" fmlaRange="Краски!$B$11:$B$14" noThreeD="1" sel="1" val="0"/>
</file>

<file path=xl/ctrlProps/ctrlProp2.xml><?xml version="1.0" encoding="utf-8"?>
<formControlPr xmlns="http://schemas.microsoft.com/office/spreadsheetml/2009/9/main" objectType="Drop" dropLines="18" dropStyle="combo" dx="22" fmlaLink="$A$176" fmlaRange="Патина!$B$2:$B$7" noThreeD="1" sel="1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175</xdr:row>
          <xdr:rowOff>0</xdr:rowOff>
        </xdr:from>
        <xdr:to>
          <xdr:col>5</xdr:col>
          <xdr:colOff>1952625</xdr:colOff>
          <xdr:row>176</xdr:row>
          <xdr:rowOff>0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175</xdr:row>
          <xdr:rowOff>9525</xdr:rowOff>
        </xdr:from>
        <xdr:to>
          <xdr:col>4</xdr:col>
          <xdr:colOff>295275</xdr:colOff>
          <xdr:row>176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>
    <xdr:from>
      <xdr:col>9</xdr:col>
      <xdr:colOff>66675</xdr:colOff>
      <xdr:row>175</xdr:row>
      <xdr:rowOff>0</xdr:rowOff>
    </xdr:from>
    <xdr:to>
      <xdr:col>10</xdr:col>
      <xdr:colOff>0</xdr:colOff>
      <xdr:row>176</xdr:row>
      <xdr:rowOff>0</xdr:rowOff>
    </xdr:to>
    <xdr:sp macro="" textlink="">
      <xdr:nvSpPr>
        <xdr:cNvPr id="1683" name="Rectangle 150">
          <a:extLst>
            <a:ext uri="{FF2B5EF4-FFF2-40B4-BE49-F238E27FC236}">
              <a16:creationId xmlns:a16="http://schemas.microsoft.com/office/drawing/2014/main" id="{00000000-0008-0000-0000-000093060000}"/>
            </a:ext>
          </a:extLst>
        </xdr:cNvPr>
        <xdr:cNvSpPr>
          <a:spLocks noChangeArrowheads="1"/>
        </xdr:cNvSpPr>
      </xdr:nvSpPr>
      <xdr:spPr bwMode="auto">
        <a:xfrm>
          <a:off x="5467350" y="1762125"/>
          <a:ext cx="1666875" cy="2667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28575</xdr:colOff>
      <xdr:row>251</xdr:row>
      <xdr:rowOff>36195</xdr:rowOff>
    </xdr:from>
    <xdr:to>
      <xdr:col>9</xdr:col>
      <xdr:colOff>1674547</xdr:colOff>
      <xdr:row>258</xdr:row>
      <xdr:rowOff>121898</xdr:rowOff>
    </xdr:to>
    <xdr:sp macro="" textlink="">
      <xdr:nvSpPr>
        <xdr:cNvPr id="11" name="Text Box 22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>
          <a:spLocks noChangeArrowheads="1"/>
        </xdr:cNvSpPr>
      </xdr:nvSpPr>
      <xdr:spPr bwMode="auto">
        <a:xfrm>
          <a:off x="28575" y="16383000"/>
          <a:ext cx="7048500" cy="12287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</xdr:spPr>
      <xdr:txBody>
        <a:bodyPr vertOverflow="clip" wrap="square" lIns="27432" tIns="22860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uk-UA"/>
            <a:t>Розмір деталей приймається у міліметрах. По висоті розташовується малюнок. Після оформлення замовлення доповнення та зміни приймаються лише у формі додаткового замовлення! Рекламації за кількістю та якістю приймаються постачальником протягом 5-ти робочих днів від дати відвантаження товару! Гарантійний термін на фарбовані деталі із МДФ - 5 років за наявності бланка замовлення</a:t>
          </a:r>
          <a:r>
            <a:rPr lang="uk-UA" b="1"/>
            <a:t>. Увага! При дозамовленні колір фарби та патини за тональністю може відрізнятися. Вартість замовлення вказана без урахування транспортних послуг. Послуги доставки розраховуються додатково.</a:t>
          </a:r>
          <a:endParaRPr kumimoji="0" lang="ru-RU" sz="1000" b="1" i="1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 Cyr"/>
            <a:cs typeface="Arial Cyr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AK250"/>
  <sheetViews>
    <sheetView showGridLines="0" tabSelected="1" topLeftCell="A167" zoomScale="85" zoomScaleNormal="85" zoomScaleSheetLayoutView="85" workbookViewId="0">
      <pane xSplit="10" ySplit="12" topLeftCell="K179" activePane="bottomRight" state="frozen"/>
      <selection activeCell="A167" sqref="A167"/>
      <selection pane="topRight" activeCell="K167" sqref="K167"/>
      <selection pane="bottomLeft" activeCell="A179" sqref="A179"/>
      <selection pane="bottomRight" activeCell="N190" sqref="N190"/>
    </sheetView>
  </sheetViews>
  <sheetFormatPr defaultRowHeight="12.75" x14ac:dyDescent="0.2"/>
  <cols>
    <col min="1" max="1" width="4.5703125" style="47" customWidth="1"/>
    <col min="2" max="3" width="7.28515625" style="47" customWidth="1"/>
    <col min="4" max="4" width="4.7109375" style="47" customWidth="1"/>
    <col min="5" max="5" width="6.85546875" style="47" customWidth="1"/>
    <col min="6" max="6" width="29.42578125" style="47" customWidth="1"/>
    <col min="7" max="7" width="6.42578125" style="47" customWidth="1"/>
    <col min="8" max="8" width="6.7109375" style="47" customWidth="1"/>
    <col min="9" max="9" width="7.7109375" style="47" customWidth="1"/>
    <col min="10" max="10" width="26" style="47" customWidth="1"/>
    <col min="11" max="11" width="14.7109375" style="47" customWidth="1"/>
    <col min="12" max="12" width="16" style="55" customWidth="1"/>
    <col min="13" max="23" width="16" style="77" customWidth="1"/>
    <col min="24" max="24" width="16" style="77" hidden="1" customWidth="1"/>
    <col min="25" max="25" width="9.140625" style="47" hidden="1" customWidth="1"/>
    <col min="26" max="30" width="9.140625" style="48" hidden="1" customWidth="1"/>
    <col min="31" max="31" width="11" style="65" hidden="1" customWidth="1"/>
    <col min="32" max="32" width="9.140625" style="48" hidden="1" customWidth="1"/>
    <col min="33" max="37" width="9.140625" style="47" hidden="1" customWidth="1"/>
    <col min="38" max="43" width="9.140625" style="47" customWidth="1"/>
    <col min="44" max="16384" width="9.140625" style="47"/>
  </cols>
  <sheetData>
    <row r="1" spans="4:32" hidden="1" x14ac:dyDescent="0.2">
      <c r="F1" s="48" t="str">
        <f>IF($F$176=5,AF1,Фрезеровки!B3)</f>
        <v>Авиньон</v>
      </c>
      <c r="G1" s="47" t="s">
        <v>36</v>
      </c>
      <c r="H1" s="128">
        <f>IF($F$176=5,AE1,AD1)</f>
        <v>45</v>
      </c>
      <c r="J1" s="48" t="str">
        <f>IF($F$176=5,"-",Фрезеровки!H3)</f>
        <v>нет</v>
      </c>
      <c r="AD1" s="125">
        <v>45</v>
      </c>
      <c r="AE1" s="125" t="s">
        <v>44</v>
      </c>
      <c r="AF1" s="123" t="s">
        <v>31</v>
      </c>
    </row>
    <row r="2" spans="4:32" s="48" customFormat="1" hidden="1" x14ac:dyDescent="0.2">
      <c r="E2" s="48">
        <v>10</v>
      </c>
      <c r="F2" s="48" t="str">
        <f>IF($F$176=5,AF2,Фрезеровки!B4)</f>
        <v>Адель</v>
      </c>
      <c r="G2" s="48">
        <v>1</v>
      </c>
      <c r="H2" s="128" t="str">
        <f t="shared" ref="H2:H13" si="0">IF($F$176=5,AE2,AD2)</f>
        <v>B</v>
      </c>
      <c r="I2" s="48" t="s">
        <v>120</v>
      </c>
      <c r="J2" s="48" t="str">
        <f>IF($F$176=5,"-",Фрезеровки!H4)</f>
        <v>Авиньон S-обр</v>
      </c>
      <c r="L2" s="55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48" t="str">
        <f>Фрезеровки!M4</f>
        <v>карниз Британия 2м.п. (h96)</v>
      </c>
      <c r="AB2" s="48" t="s">
        <v>193</v>
      </c>
      <c r="AC2" s="48" t="s">
        <v>193</v>
      </c>
      <c r="AD2" s="126" t="s">
        <v>40</v>
      </c>
      <c r="AE2" s="133" t="s">
        <v>228</v>
      </c>
      <c r="AF2" s="124" t="s">
        <v>228</v>
      </c>
    </row>
    <row r="3" spans="4:32" s="48" customFormat="1" hidden="1" x14ac:dyDescent="0.2">
      <c r="D3" s="48" t="s">
        <v>5</v>
      </c>
      <c r="E3" s="48">
        <v>16</v>
      </c>
      <c r="F3" s="48" t="str">
        <f>IF($F$176=5,AF3,Фрезеровки!B5)</f>
        <v>Альба</v>
      </c>
      <c r="G3" s="114">
        <v>1.45</v>
      </c>
      <c r="H3" s="128" t="str">
        <f t="shared" si="0"/>
        <v>D</v>
      </c>
      <c r="I3" s="48" t="s">
        <v>121</v>
      </c>
      <c r="J3" s="48" t="str">
        <f>IF($F$176=5,"-",Фрезеровки!H5)</f>
        <v>Авиньон ВОГН</v>
      </c>
      <c r="L3" s="55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7"/>
      <c r="Y3" s="48" t="str">
        <f>Фрезеровки!M5</f>
        <v>карниз Вена 2м.п. (h68)</v>
      </c>
      <c r="AB3" s="48" t="s">
        <v>108</v>
      </c>
      <c r="AC3" s="48" t="s">
        <v>108</v>
      </c>
      <c r="AD3" s="126" t="s">
        <v>33</v>
      </c>
      <c r="AE3" s="133" t="s">
        <v>228</v>
      </c>
      <c r="AF3" s="124" t="s">
        <v>228</v>
      </c>
    </row>
    <row r="4" spans="4:32" s="48" customFormat="1" hidden="1" x14ac:dyDescent="0.2">
      <c r="E4" s="48">
        <v>19</v>
      </c>
      <c r="F4" s="48" t="str">
        <f>IF($F$176=5,AF4,Фрезеровки!B6)</f>
        <v>Альфа (тип 1)</v>
      </c>
      <c r="G4" s="48">
        <v>2</v>
      </c>
      <c r="H4" s="128" t="str">
        <f t="shared" si="0"/>
        <v>E</v>
      </c>
      <c r="J4" s="48" t="str">
        <f>IF($F$176=5,"-",Фрезеровки!H6)</f>
        <v>Авиньон ГН</v>
      </c>
      <c r="L4" s="55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7"/>
      <c r="Y4" s="48" t="str">
        <f>Фрезеровки!M6</f>
        <v>карниз Вена R гн (h68)</v>
      </c>
      <c r="AB4" s="48" t="s">
        <v>194</v>
      </c>
      <c r="AC4" s="48" t="s">
        <v>194</v>
      </c>
      <c r="AD4" s="126" t="s">
        <v>41</v>
      </c>
      <c r="AE4" s="133" t="s">
        <v>228</v>
      </c>
      <c r="AF4" s="124" t="s">
        <v>228</v>
      </c>
    </row>
    <row r="5" spans="4:32" s="48" customFormat="1" hidden="1" x14ac:dyDescent="0.2">
      <c r="E5" s="48">
        <v>38</v>
      </c>
      <c r="F5" s="48" t="str">
        <f>IF($F$176=5,AF5,Фрезеровки!B7)</f>
        <v>Альфа (тип 2)</v>
      </c>
      <c r="G5" s="114">
        <v>2.1</v>
      </c>
      <c r="H5" s="128" t="str">
        <f t="shared" si="0"/>
        <v>G</v>
      </c>
      <c r="J5" s="48" t="str">
        <f>IF($F$176=5,"-",Фрезеровки!H7)</f>
        <v>Адель ГН</v>
      </c>
      <c r="L5" s="55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/>
      <c r="Y5" s="48" t="str">
        <f>Фрезеровки!M7</f>
        <v>карниз Вена R вогн (h68)</v>
      </c>
      <c r="AB5" s="48" t="s">
        <v>195</v>
      </c>
      <c r="AC5" s="48" t="s">
        <v>198</v>
      </c>
      <c r="AD5" s="126" t="s">
        <v>42</v>
      </c>
      <c r="AE5" s="133" t="s">
        <v>228</v>
      </c>
      <c r="AF5" s="124" t="s">
        <v>228</v>
      </c>
    </row>
    <row r="6" spans="4:32" s="48" customFormat="1" hidden="1" x14ac:dyDescent="0.2">
      <c r="E6" s="48" t="s">
        <v>124</v>
      </c>
      <c r="F6" s="48" t="str">
        <f>IF($F$176=5,AF6,Фрезеровки!B8)</f>
        <v>Амальфі</v>
      </c>
      <c r="G6" s="48">
        <v>4</v>
      </c>
      <c r="H6" s="128" t="str">
        <f t="shared" si="0"/>
        <v>M</v>
      </c>
      <c r="J6" s="48" t="str">
        <f>IF($F$176=5,"-",Фрезеровки!H8)</f>
        <v>Альфа (тип 1) ГН</v>
      </c>
      <c r="L6" s="55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77"/>
      <c r="Y6" s="48" t="str">
        <f>Фрезеровки!M8</f>
        <v>карниз Классический 2м.п. (h38)</v>
      </c>
      <c r="AB6" s="48" t="s">
        <v>196</v>
      </c>
      <c r="AC6" s="48" t="s">
        <v>199</v>
      </c>
      <c r="AD6" s="126" t="s">
        <v>34</v>
      </c>
      <c r="AE6" s="133" t="s">
        <v>228</v>
      </c>
      <c r="AF6" s="124" t="s">
        <v>228</v>
      </c>
    </row>
    <row r="7" spans="4:32" s="48" customFormat="1" hidden="1" x14ac:dyDescent="0.2">
      <c r="E7" s="48" t="s">
        <v>125</v>
      </c>
      <c r="F7" s="48" t="str">
        <f>IF($F$176=5,AF7,Фрезеровки!B9)</f>
        <v>Амстердам</v>
      </c>
      <c r="G7" s="114">
        <v>4.0999999999999996</v>
      </c>
      <c r="H7" s="128" t="str">
        <f t="shared" si="0"/>
        <v>R2</v>
      </c>
      <c r="J7" s="48" t="str">
        <f>IF($F$176=5,"-",Фрезеровки!H9)</f>
        <v>Амальфи S-обр</v>
      </c>
      <c r="L7" s="55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77"/>
      <c r="Y7" s="48" t="str">
        <f>Фрезеровки!M9</f>
        <v>карниз Классический R вогн (h38)</v>
      </c>
      <c r="AB7" s="48" t="s">
        <v>197</v>
      </c>
      <c r="AD7" s="126" t="s">
        <v>44</v>
      </c>
      <c r="AE7" s="133" t="s">
        <v>228</v>
      </c>
      <c r="AF7" s="124" t="s">
        <v>228</v>
      </c>
    </row>
    <row r="8" spans="4:32" s="48" customFormat="1" hidden="1" x14ac:dyDescent="0.2">
      <c r="E8" s="48" t="s">
        <v>126</v>
      </c>
      <c r="F8" s="48" t="str">
        <f>IF($F$176=5,AF8,Фрезеровки!B10)</f>
        <v>Анже</v>
      </c>
      <c r="G8" s="114">
        <v>45</v>
      </c>
      <c r="H8" s="128" t="str">
        <f t="shared" si="0"/>
        <v>R10</v>
      </c>
      <c r="J8" s="48" t="str">
        <f>IF($F$176=5,"-",Фрезеровки!H10)</f>
        <v>Амальфі ГН</v>
      </c>
      <c r="L8" s="55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77"/>
      <c r="Y8" s="48" t="str">
        <f>Фрезеровки!M10</f>
        <v>карниз Классический R гн (h38)</v>
      </c>
      <c r="AD8" s="126" t="s">
        <v>43</v>
      </c>
      <c r="AE8" s="133" t="s">
        <v>228</v>
      </c>
      <c r="AF8" s="124" t="s">
        <v>228</v>
      </c>
    </row>
    <row r="9" spans="4:32" s="48" customFormat="1" hidden="1" x14ac:dyDescent="0.2">
      <c r="E9" s="48" t="s">
        <v>128</v>
      </c>
      <c r="F9" s="48" t="str">
        <f>IF($F$176=5,AF9,Фрезеровки!B11)</f>
        <v>Анкона +Р</v>
      </c>
      <c r="G9" s="114">
        <v>5</v>
      </c>
      <c r="H9" s="128" t="str">
        <f t="shared" si="0"/>
        <v>R25</v>
      </c>
      <c r="J9" s="48" t="str">
        <f>IF($F$176=5,"-",Фрезеровки!H11)</f>
        <v>Анже ГН</v>
      </c>
      <c r="L9" s="55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  <c r="X9" s="77"/>
      <c r="Y9" s="48" t="str">
        <f>Фрезеровки!M11</f>
        <v>карниз Монтана 2м.п. (h38)</v>
      </c>
      <c r="AD9" s="126" t="s">
        <v>45</v>
      </c>
      <c r="AE9" s="133" t="s">
        <v>228</v>
      </c>
      <c r="AF9" s="124" t="s">
        <v>228</v>
      </c>
    </row>
    <row r="10" spans="4:32" s="48" customFormat="1" hidden="1" x14ac:dyDescent="0.2">
      <c r="E10" s="48" t="s">
        <v>204</v>
      </c>
      <c r="F10" s="48" t="str">
        <f>IF($F$176=5,AF10,Фрезеровки!B12)</f>
        <v>Арка</v>
      </c>
      <c r="G10" s="48">
        <v>6</v>
      </c>
      <c r="H10" s="128" t="str">
        <f t="shared" si="0"/>
        <v>S</v>
      </c>
      <c r="J10" s="48" t="str">
        <f>IF($F$176=5,"-",Фрезеровки!H12)</f>
        <v>Арка S-обр</v>
      </c>
      <c r="L10" s="55"/>
      <c r="M10" s="77"/>
      <c r="N10" s="77"/>
      <c r="O10" s="77"/>
      <c r="P10" s="77"/>
      <c r="Q10" s="77"/>
      <c r="R10" s="77"/>
      <c r="S10" s="77"/>
      <c r="T10" s="77"/>
      <c r="U10" s="77"/>
      <c r="V10" s="77"/>
      <c r="W10" s="77"/>
      <c r="X10" s="77"/>
      <c r="Y10" s="48" t="str">
        <f>Фрезеровки!M12</f>
        <v>карниз Монтана R вогн (h38)</v>
      </c>
      <c r="AD10" s="126" t="s">
        <v>35</v>
      </c>
      <c r="AE10" s="133" t="s">
        <v>228</v>
      </c>
      <c r="AF10" s="124" t="s">
        <v>228</v>
      </c>
    </row>
    <row r="11" spans="4:32" s="48" customFormat="1" hidden="1" x14ac:dyDescent="0.2">
      <c r="F11" s="48" t="str">
        <f>IF($F$176=5,AF11,Фрезеровки!B13)</f>
        <v>Арка двойна</v>
      </c>
      <c r="G11" s="114">
        <v>6.1</v>
      </c>
      <c r="H11" s="128" t="str">
        <f t="shared" si="0"/>
        <v>без</v>
      </c>
      <c r="J11" s="48" t="str">
        <f>IF($F$176=5,"-",Фрезеровки!H13)</f>
        <v>Арка ВОГН</v>
      </c>
      <c r="L11" s="55"/>
      <c r="M11" s="77"/>
      <c r="N11" s="77"/>
      <c r="O11" s="77"/>
      <c r="P11" s="77"/>
      <c r="Q11" s="77"/>
      <c r="R11" s="77"/>
      <c r="S11" s="77"/>
      <c r="T11" s="77"/>
      <c r="U11" s="77"/>
      <c r="V11" s="77"/>
      <c r="W11" s="77"/>
      <c r="X11" s="77"/>
      <c r="Y11" s="48" t="str">
        <f>Фрезеровки!M13</f>
        <v>карниз Монтана R гн (h38)</v>
      </c>
      <c r="AD11" s="126" t="s">
        <v>46</v>
      </c>
      <c r="AE11" s="133" t="s">
        <v>228</v>
      </c>
      <c r="AF11" s="124" t="s">
        <v>228</v>
      </c>
    </row>
    <row r="12" spans="4:32" s="48" customFormat="1" hidden="1" x14ac:dyDescent="0.2">
      <c r="F12" s="48" t="str">
        <f>IF($F$176=5,AF12,Фрезеровки!B14)</f>
        <v>Барселона</v>
      </c>
      <c r="G12" s="114">
        <v>9</v>
      </c>
      <c r="H12" s="128" t="str">
        <f t="shared" si="0"/>
        <v>спец</v>
      </c>
      <c r="J12" s="48" t="str">
        <f>IF($F$176=5,"-",Фрезеровки!H14)</f>
        <v>Арка ГН</v>
      </c>
      <c r="L12" s="55"/>
      <c r="M12" s="77"/>
      <c r="N12" s="77"/>
      <c r="O12" s="77"/>
      <c r="P12" s="77"/>
      <c r="Q12" s="77"/>
      <c r="R12" s="77"/>
      <c r="S12" s="77"/>
      <c r="T12" s="77"/>
      <c r="U12" s="77"/>
      <c r="V12" s="77"/>
      <c r="W12" s="77"/>
      <c r="X12" s="77"/>
      <c r="Y12" s="48" t="str">
        <f>Фрезеровки!M14</f>
        <v>карниз Универсальный 2м.п. (h38)</v>
      </c>
      <c r="AD12" s="126" t="s">
        <v>268</v>
      </c>
      <c r="AE12" s="133" t="s">
        <v>228</v>
      </c>
      <c r="AF12" s="124" t="s">
        <v>228</v>
      </c>
    </row>
    <row r="13" spans="4:32" s="48" customFormat="1" hidden="1" x14ac:dyDescent="0.2">
      <c r="F13" s="48" t="str">
        <f>IF($F$176=5,AF13,Фрезеровки!B15)</f>
        <v>Беладжио</v>
      </c>
      <c r="H13" s="128" t="str">
        <f t="shared" si="0"/>
        <v>эскиз</v>
      </c>
      <c r="J13" s="48" t="str">
        <f>IF($F$176=5,"-",Фрезеровки!H15)</f>
        <v>Арка двойна S-обр</v>
      </c>
      <c r="L13" s="55"/>
      <c r="M13" s="77"/>
      <c r="N13" s="77"/>
      <c r="O13" s="77"/>
      <c r="P13" s="77"/>
      <c r="Q13" s="77"/>
      <c r="R13" s="77"/>
      <c r="S13" s="77"/>
      <c r="T13" s="77"/>
      <c r="U13" s="77"/>
      <c r="V13" s="77"/>
      <c r="W13" s="77"/>
      <c r="X13" s="77"/>
      <c r="Y13" s="48" t="str">
        <f>Фрезеровки!M15</f>
        <v>свет.планка Британия 2м.п. (h50)</v>
      </c>
      <c r="AD13" s="127" t="s">
        <v>269</v>
      </c>
      <c r="AE13" s="134" t="s">
        <v>228</v>
      </c>
      <c r="AF13" s="124" t="s">
        <v>228</v>
      </c>
    </row>
    <row r="14" spans="4:32" s="48" customFormat="1" hidden="1" x14ac:dyDescent="0.2">
      <c r="F14" s="48" t="str">
        <f>IF($F$176=5,AF14,Фрезеровки!B16)</f>
        <v>Бергамо</v>
      </c>
      <c r="J14" s="48" t="str">
        <f>IF($F$176=5,"-",Фрезеровки!H16)</f>
        <v>Арка двойна ВОГН</v>
      </c>
      <c r="L14" s="55"/>
      <c r="M14" s="77"/>
      <c r="N14" s="77"/>
      <c r="O14" s="77"/>
      <c r="P14" s="77"/>
      <c r="Q14" s="77"/>
      <c r="R14" s="77"/>
      <c r="S14" s="77"/>
      <c r="T14" s="77"/>
      <c r="U14" s="77"/>
      <c r="V14" s="77"/>
      <c r="W14" s="77"/>
      <c r="X14" s="77"/>
      <c r="Y14" s="48" t="str">
        <f>Фрезеровки!M16</f>
        <v>свет.планка Нижняя 2м.п. (h38)</v>
      </c>
      <c r="AE14" s="65"/>
      <c r="AF14" s="124" t="s">
        <v>228</v>
      </c>
    </row>
    <row r="15" spans="4:32" s="48" customFormat="1" hidden="1" x14ac:dyDescent="0.2">
      <c r="F15" s="48" t="str">
        <f>IF($F$176=5,AF15,Фрезеровки!B17)</f>
        <v>Болонья</v>
      </c>
      <c r="J15" s="48" t="str">
        <f>IF($F$176=5,"-",Фрезеровки!H17)</f>
        <v>Арка двойна ГН</v>
      </c>
      <c r="L15" s="55"/>
      <c r="M15" s="77"/>
      <c r="N15" s="77"/>
      <c r="O15" s="77"/>
      <c r="P15" s="77"/>
      <c r="Q15" s="77"/>
      <c r="R15" s="77"/>
      <c r="S15" s="77"/>
      <c r="T15" s="77"/>
      <c r="U15" s="77"/>
      <c r="V15" s="77"/>
      <c r="W15" s="77"/>
      <c r="X15" s="77"/>
      <c r="Y15" s="48" t="str">
        <f>Фрезеровки!M17</f>
        <v>свет.планка Нижняя R вогн (h38)</v>
      </c>
      <c r="AE15" s="65"/>
      <c r="AF15" s="124" t="s">
        <v>228</v>
      </c>
    </row>
    <row r="16" spans="4:32" s="48" customFormat="1" hidden="1" x14ac:dyDescent="0.2">
      <c r="E16" s="48">
        <v>16</v>
      </c>
      <c r="F16" s="48" t="str">
        <f>IF($F$176=5,AF16,Фрезеровки!B18)</f>
        <v>Бостон</v>
      </c>
      <c r="J16" s="48" t="str">
        <f>IF($F$176=5,"-",Фрезеровки!H18)</f>
        <v>Барселона ГН</v>
      </c>
      <c r="L16" s="55"/>
      <c r="M16" s="77"/>
      <c r="N16" s="77"/>
      <c r="O16" s="77"/>
      <c r="P16" s="77"/>
      <c r="Q16" s="77"/>
      <c r="R16" s="77"/>
      <c r="S16" s="77"/>
      <c r="T16" s="77"/>
      <c r="U16" s="77"/>
      <c r="V16" s="77"/>
      <c r="W16" s="77"/>
      <c r="X16" s="77"/>
      <c r="Y16" s="48" t="str">
        <f>Фрезеровки!M18</f>
        <v>свет.планка Нижняя R гн (h38)</v>
      </c>
      <c r="AE16" s="65"/>
      <c r="AF16" s="124" t="s">
        <v>228</v>
      </c>
    </row>
    <row r="17" spans="5:32" s="48" customFormat="1" hidden="1" x14ac:dyDescent="0.2">
      <c r="E17" s="48">
        <v>19</v>
      </c>
      <c r="F17" s="48" t="str">
        <f>IF($F$176=5,AF17,Фрезеровки!B19)</f>
        <v>Бремен</v>
      </c>
      <c r="J17" s="48" t="str">
        <f>IF($F$176=5,"-",Фрезеровки!H19)</f>
        <v>Барселона ВОГН (витрина)</v>
      </c>
      <c r="L17" s="55"/>
      <c r="M17" s="77"/>
      <c r="N17" s="77"/>
      <c r="O17" s="77"/>
      <c r="P17" s="77"/>
      <c r="Q17" s="77"/>
      <c r="R17" s="77"/>
      <c r="S17" s="77"/>
      <c r="T17" s="77"/>
      <c r="U17" s="77"/>
      <c r="V17" s="77"/>
      <c r="W17" s="77"/>
      <c r="X17" s="77"/>
      <c r="Y17" s="48" t="str">
        <f>Фрезеровки!M19</f>
        <v>свет.планка Родос 2м.п. (h60)</v>
      </c>
      <c r="AE17" s="65"/>
      <c r="AF17" s="124" t="s">
        <v>228</v>
      </c>
    </row>
    <row r="18" spans="5:32" s="48" customFormat="1" hidden="1" x14ac:dyDescent="0.2">
      <c r="E18" s="48" t="s">
        <v>125</v>
      </c>
      <c r="F18" s="48" t="str">
        <f>IF($F$176=5,AF18,Фрезеровки!B20)</f>
        <v>Бремен (без декору)</v>
      </c>
      <c r="J18" s="48" t="str">
        <f>IF($F$176=5,"-",Фрезеровки!H20)</f>
        <v>Бергамо ГН</v>
      </c>
      <c r="L18" s="55"/>
      <c r="M18" s="77"/>
      <c r="N18" s="77"/>
      <c r="O18" s="77"/>
      <c r="P18" s="77"/>
      <c r="Q18" s="77"/>
      <c r="R18" s="77"/>
      <c r="S18" s="77"/>
      <c r="T18" s="77"/>
      <c r="U18" s="77"/>
      <c r="V18" s="77"/>
      <c r="W18" s="77"/>
      <c r="X18" s="77"/>
      <c r="Y18" s="48" t="str">
        <f>Фрезеровки!M20</f>
        <v>свет.планка Родос R вогн (h60)</v>
      </c>
      <c r="AE18" s="65"/>
      <c r="AF18" s="124" t="s">
        <v>228</v>
      </c>
    </row>
    <row r="19" spans="5:32" s="48" customFormat="1" hidden="1" x14ac:dyDescent="0.2">
      <c r="E19" s="48" t="s">
        <v>126</v>
      </c>
      <c r="F19" s="48" t="str">
        <f>IF($F$176=5,AF19,Фрезеровки!B21)</f>
        <v>Брунико</v>
      </c>
      <c r="J19" s="48" t="str">
        <f>IF($F$176=5,"-",Фрезеровки!H21)</f>
        <v>Болонья S-обр</v>
      </c>
      <c r="L19" s="55"/>
      <c r="M19" s="77"/>
      <c r="N19" s="77"/>
      <c r="O19" s="77"/>
      <c r="P19" s="77"/>
      <c r="Q19" s="77"/>
      <c r="R19" s="77"/>
      <c r="S19" s="77"/>
      <c r="T19" s="77"/>
      <c r="U19" s="77"/>
      <c r="V19" s="77"/>
      <c r="W19" s="77"/>
      <c r="X19" s="77"/>
      <c r="Y19" s="48" t="str">
        <f>Фрезеровки!M21</f>
        <v>свет.планка Родос R гн (h60)</v>
      </c>
      <c r="AE19" s="65"/>
      <c r="AF19" s="124" t="s">
        <v>228</v>
      </c>
    </row>
    <row r="20" spans="5:32" s="48" customFormat="1" hidden="1" x14ac:dyDescent="0.2">
      <c r="F20" s="48" t="str">
        <f>IF($F$176=5,AF20,Фрезеровки!B22)</f>
        <v>Бристоль</v>
      </c>
      <c r="J20" s="48" t="str">
        <f>IF($F$176=5,"-",Фрезеровки!H22)</f>
        <v>Болонья ВОГН</v>
      </c>
      <c r="L20" s="55"/>
      <c r="M20" s="77"/>
      <c r="N20" s="77"/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48" t="str">
        <f>Фрезеровки!M22</f>
        <v>свет.планка Сиена 2м.п. (h60)</v>
      </c>
      <c r="AE20" s="65"/>
      <c r="AF20" s="124" t="s">
        <v>228</v>
      </c>
    </row>
    <row r="21" spans="5:32" s="48" customFormat="1" hidden="1" x14ac:dyDescent="0.2">
      <c r="F21" s="48" t="str">
        <f>IF($F$176=5,AF21,Фрезеровки!B23)</f>
        <v>Брюссель</v>
      </c>
      <c r="J21" s="48" t="str">
        <f>IF($F$176=5,"-",Фрезеровки!H23)</f>
        <v>Болонья ГН</v>
      </c>
      <c r="L21" s="55"/>
      <c r="M21" s="77"/>
      <c r="N21" s="77"/>
      <c r="O21" s="77"/>
      <c r="P21" s="77"/>
      <c r="Q21" s="77"/>
      <c r="R21" s="77"/>
      <c r="S21" s="77"/>
      <c r="T21" s="77"/>
      <c r="U21" s="77"/>
      <c r="V21" s="77"/>
      <c r="W21" s="77"/>
      <c r="X21" s="77"/>
      <c r="Y21" s="48" t="str">
        <f>Фрезеровки!M23</f>
        <v>свет.планка Сиена R вогн (h60)</v>
      </c>
      <c r="AE21" s="65"/>
      <c r="AF21" s="124" t="s">
        <v>228</v>
      </c>
    </row>
    <row r="22" spans="5:32" s="48" customFormat="1" hidden="1" x14ac:dyDescent="0.2">
      <c r="F22" s="48" t="str">
        <f>IF($F$176=5,AF22,Фрезеровки!B24)</f>
        <v>Бутилочница</v>
      </c>
      <c r="J22" s="48" t="str">
        <f>IF($F$176=5,"-",Фрезеровки!H24)</f>
        <v>Бостон S-обр</v>
      </c>
      <c r="L22" s="55"/>
      <c r="M22" s="77"/>
      <c r="N22" s="77"/>
      <c r="O22" s="77"/>
      <c r="P22" s="77"/>
      <c r="Q22" s="77"/>
      <c r="R22" s="77"/>
      <c r="S22" s="77"/>
      <c r="T22" s="77"/>
      <c r="U22" s="77"/>
      <c r="V22" s="77"/>
      <c r="W22" s="77"/>
      <c r="X22" s="77"/>
      <c r="Y22" s="48" t="str">
        <f>Фрезеровки!M24</f>
        <v>свет.планка Сиена R гн (h60)</v>
      </c>
      <c r="AE22" s="65"/>
      <c r="AF22" s="124" t="s">
        <v>228</v>
      </c>
    </row>
    <row r="23" spans="5:32" s="48" customFormat="1" hidden="1" x14ac:dyDescent="0.2">
      <c r="F23" s="48" t="str">
        <f>IF($F$176=5,AF23,Фрезеровки!B25)</f>
        <v>Виченца</v>
      </c>
      <c r="J23" s="48" t="str">
        <f>IF($F$176=5,"-",Фрезеровки!H25)</f>
        <v>Бостон ВОГН</v>
      </c>
      <c r="L23" s="55"/>
      <c r="M23" s="77"/>
      <c r="N23" s="77"/>
      <c r="O23" s="77"/>
      <c r="P23" s="77"/>
      <c r="Q23" s="77"/>
      <c r="R23" s="77"/>
      <c r="S23" s="77"/>
      <c r="T23" s="77"/>
      <c r="U23" s="77"/>
      <c r="V23" s="77"/>
      <c r="W23" s="77"/>
      <c r="X23" s="77"/>
      <c r="Y23" s="48" t="str">
        <f>Фрезеровки!M25</f>
        <v>фриз Левадия 2м.п. (h180)</v>
      </c>
      <c r="AE23" s="65"/>
      <c r="AF23" s="124" t="s">
        <v>228</v>
      </c>
    </row>
    <row r="24" spans="5:32" s="48" customFormat="1" hidden="1" x14ac:dyDescent="0.2">
      <c r="F24" s="48" t="str">
        <f>IF($F$176=5,AF24,Фрезеровки!B26)</f>
        <v>Гауда</v>
      </c>
      <c r="J24" s="48" t="str">
        <f>IF($F$176=5,"-",Фрезеровки!H26)</f>
        <v>Бостон ГН</v>
      </c>
      <c r="L24" s="55"/>
      <c r="M24" s="77"/>
      <c r="N24" s="77"/>
      <c r="O24" s="77"/>
      <c r="P24" s="77"/>
      <c r="Q24" s="77"/>
      <c r="R24" s="77"/>
      <c r="S24" s="77"/>
      <c r="T24" s="77"/>
      <c r="U24" s="77"/>
      <c r="V24" s="77"/>
      <c r="W24" s="77"/>
      <c r="X24" s="77"/>
      <c r="Y24" s="48" t="str">
        <f>Фрезеровки!M26</f>
        <v>фриз Левадия R вогн (h180)</v>
      </c>
      <c r="AE24" s="65"/>
      <c r="AF24" s="124" t="s">
        <v>228</v>
      </c>
    </row>
    <row r="25" spans="5:32" s="48" customFormat="1" hidden="1" x14ac:dyDescent="0.2">
      <c r="F25" s="48" t="str">
        <f>IF($F$176=5,AF25,Фрезеровки!B27)</f>
        <v>Гамма</v>
      </c>
      <c r="J25" s="48" t="str">
        <f>IF($F$176=5,"-",Фрезеровки!H27)</f>
        <v>Бремен ГН</v>
      </c>
      <c r="L25" s="55"/>
      <c r="M25" s="77"/>
      <c r="N25" s="77"/>
      <c r="O25" s="77"/>
      <c r="P25" s="77"/>
      <c r="Q25" s="77"/>
      <c r="R25" s="77"/>
      <c r="S25" s="77"/>
      <c r="T25" s="77"/>
      <c r="U25" s="77"/>
      <c r="V25" s="77"/>
      <c r="W25" s="77"/>
      <c r="X25" s="77"/>
      <c r="Y25" s="48" t="str">
        <f>Фрезеровки!M27</f>
        <v>фриз Левадия R гн (h180)</v>
      </c>
      <c r="AE25" s="65"/>
      <c r="AF25" s="124" t="s">
        <v>228</v>
      </c>
    </row>
    <row r="26" spans="5:32" s="48" customFormat="1" hidden="1" x14ac:dyDescent="0.2">
      <c r="F26" s="48" t="str">
        <f>IF($F$176=5,AF26,Фрезеровки!B28)</f>
        <v>Глазго</v>
      </c>
      <c r="J26" s="48" t="str">
        <f>IF($F$176=5,"-",Фрезеровки!H28)</f>
        <v>Бристоль S-обр</v>
      </c>
      <c r="L26" s="55"/>
      <c r="M26" s="77"/>
      <c r="N26" s="77"/>
      <c r="O26" s="77"/>
      <c r="P26" s="77"/>
      <c r="Q26" s="77"/>
      <c r="R26" s="77"/>
      <c r="S26" s="77"/>
      <c r="T26" s="77"/>
      <c r="U26" s="77"/>
      <c r="V26" s="77"/>
      <c r="W26" s="77"/>
      <c r="X26" s="77"/>
      <c r="Y26" s="48" t="str">
        <f>Фрезеровки!M28</f>
        <v>фриз Родос 2м.п. (h100)</v>
      </c>
      <c r="AE26" s="65"/>
      <c r="AF26" s="124" t="s">
        <v>228</v>
      </c>
    </row>
    <row r="27" spans="5:32" s="48" customFormat="1" hidden="1" x14ac:dyDescent="0.2">
      <c r="F27" s="48" t="str">
        <f>IF($F$176=5,AF27,Фрезеровки!B29)</f>
        <v>Грас</v>
      </c>
      <c r="J27" s="48" t="str">
        <f>IF($F$176=5,"-",Фрезеровки!H29)</f>
        <v>Бристоль ВОГН</v>
      </c>
      <c r="L27" s="55"/>
      <c r="M27" s="77"/>
      <c r="N27" s="77"/>
      <c r="O27" s="77"/>
      <c r="P27" s="77"/>
      <c r="Q27" s="77"/>
      <c r="R27" s="77"/>
      <c r="S27" s="77"/>
      <c r="T27" s="77"/>
      <c r="U27" s="77"/>
      <c r="V27" s="77"/>
      <c r="W27" s="77"/>
      <c r="X27" s="77"/>
      <c r="Y27" s="48" t="str">
        <f>Фрезеровки!M29</f>
        <v>фриз Родос R вогн (h100)</v>
      </c>
      <c r="AE27" s="65"/>
      <c r="AF27" s="124" t="s">
        <v>228</v>
      </c>
    </row>
    <row r="28" spans="5:32" s="48" customFormat="1" hidden="1" x14ac:dyDescent="0.2">
      <c r="F28" s="48" t="str">
        <f>IF($F$176=5,AF28,Фрезеровки!B30)</f>
        <v>Грас (без декора)</v>
      </c>
      <c r="J28" s="48" t="str">
        <f>IF($F$176=5,"-",Фрезеровки!H30)</f>
        <v>Бристоль ГН</v>
      </c>
      <c r="L28" s="55"/>
      <c r="M28" s="77"/>
      <c r="N28" s="77"/>
      <c r="O28" s="77"/>
      <c r="P28" s="77"/>
      <c r="Q28" s="77"/>
      <c r="R28" s="77"/>
      <c r="S28" s="77"/>
      <c r="T28" s="77"/>
      <c r="U28" s="77"/>
      <c r="V28" s="77"/>
      <c r="W28" s="77"/>
      <c r="X28" s="77"/>
      <c r="Y28" s="48" t="str">
        <f>Фрезеровки!M30</f>
        <v>фриз Родос R гн (h100)</v>
      </c>
      <c r="AE28" s="65"/>
      <c r="AF28" s="124" t="s">
        <v>228</v>
      </c>
    </row>
    <row r="29" spans="5:32" s="48" customFormat="1" hidden="1" x14ac:dyDescent="0.2">
      <c r="F29" s="48" t="str">
        <f>IF($F$176=5,AF29,Фрезеровки!B31)</f>
        <v>Грати (квадрат)</v>
      </c>
      <c r="J29" s="48" t="str">
        <f>IF($F$176=5,"-",Фрезеровки!H31)</f>
        <v>Довиль S-обр</v>
      </c>
      <c r="L29" s="55"/>
      <c r="M29" s="77"/>
      <c r="N29" s="77"/>
      <c r="O29" s="77"/>
      <c r="P29" s="77"/>
      <c r="Q29" s="77"/>
      <c r="R29" s="77"/>
      <c r="S29" s="77"/>
      <c r="T29" s="77"/>
      <c r="U29" s="77"/>
      <c r="V29" s="77"/>
      <c r="W29" s="77"/>
      <c r="X29" s="77"/>
      <c r="Y29" s="48" t="str">
        <f>Фрезеровки!M31</f>
        <v>Балюстрада верхняя 0,7</v>
      </c>
      <c r="AE29" s="65"/>
      <c r="AF29" s="124" t="s">
        <v>228</v>
      </c>
    </row>
    <row r="30" spans="5:32" s="48" customFormat="1" hidden="1" x14ac:dyDescent="0.2">
      <c r="F30" s="48" t="str">
        <f>IF($F$176=5,AF30,Фрезеровки!B32)</f>
        <v>Грати (ромб)</v>
      </c>
      <c r="J30" s="48" t="str">
        <f>IF($F$176=5,"-",Фрезеровки!H32)</f>
        <v>Довиль ВОГН</v>
      </c>
      <c r="L30" s="55"/>
      <c r="M30" s="77"/>
      <c r="N30" s="77"/>
      <c r="O30" s="77"/>
      <c r="P30" s="77"/>
      <c r="Q30" s="77"/>
      <c r="R30" s="77"/>
      <c r="S30" s="77"/>
      <c r="T30" s="77"/>
      <c r="U30" s="77"/>
      <c r="V30" s="77"/>
      <c r="W30" s="77"/>
      <c r="X30" s="77"/>
      <c r="Y30" s="48" t="str">
        <f>Фрезеровки!M32</f>
        <v>Балюстрада нижняя 0,7</v>
      </c>
      <c r="AE30" s="65"/>
      <c r="AF30" s="124" t="s">
        <v>228</v>
      </c>
    </row>
    <row r="31" spans="5:32" s="48" customFormat="1" hidden="1" x14ac:dyDescent="0.2">
      <c r="F31" s="48" t="str">
        <f>IF($F$176=5,AF31,Фрезеровки!B33)</f>
        <v>дек.накладка Верона</v>
      </c>
      <c r="J31" s="48" t="str">
        <f>IF($F$176=5,"-",Фрезеровки!H33)</f>
        <v>Довиль ГН</v>
      </c>
      <c r="L31" s="55"/>
      <c r="M31" s="77"/>
      <c r="N31" s="77"/>
      <c r="O31" s="77"/>
      <c r="P31" s="77"/>
      <c r="Q31" s="77"/>
      <c r="R31" s="77"/>
      <c r="S31" s="77"/>
      <c r="T31" s="77"/>
      <c r="U31" s="77"/>
      <c r="V31" s="77"/>
      <c r="W31" s="77"/>
      <c r="X31" s="77"/>
      <c r="Y31" s="48" t="str">
        <f>Фрезеровки!M33</f>
        <v>Балюстрада верхняя 1,0</v>
      </c>
      <c r="AE31" s="65"/>
      <c r="AF31" s="124" t="s">
        <v>228</v>
      </c>
    </row>
    <row r="32" spans="5:32" s="48" customFormat="1" hidden="1" x14ac:dyDescent="0.2">
      <c r="F32" s="48" t="str">
        <f>IF($F$176=5,AF32,Фрезеровки!B34)</f>
        <v>дек.накладка Марсель</v>
      </c>
      <c r="J32" s="48" t="str">
        <f>IF($F$176=5,"-",Фрезеровки!H34)</f>
        <v>Дублин ГН</v>
      </c>
      <c r="L32" s="55"/>
      <c r="M32" s="77"/>
      <c r="N32" s="77"/>
      <c r="O32" s="77"/>
      <c r="P32" s="77"/>
      <c r="Q32" s="77"/>
      <c r="R32" s="77"/>
      <c r="S32" s="77"/>
      <c r="T32" s="77"/>
      <c r="U32" s="77"/>
      <c r="V32" s="77"/>
      <c r="W32" s="77"/>
      <c r="X32" s="77"/>
      <c r="Y32" s="48" t="str">
        <f>Фрезеровки!M34</f>
        <v>Балюстрада нижняя 1,0</v>
      </c>
      <c r="AE32" s="65"/>
      <c r="AF32" s="124" t="s">
        <v>228</v>
      </c>
    </row>
    <row r="33" spans="6:32" s="48" customFormat="1" hidden="1" x14ac:dyDescent="0.2">
      <c r="F33" s="48" t="str">
        <f>IF($F$176=5,AF33,Фрезеровки!B35)</f>
        <v>дек.накладка Олимпмя</v>
      </c>
      <c r="J33" s="48" t="str">
        <f>IF($F$176=5,"-",Фрезеровки!H35)</f>
        <v>Дублин ВОГН</v>
      </c>
      <c r="L33" s="55"/>
      <c r="M33" s="77"/>
      <c r="N33" s="77"/>
      <c r="O33" s="77"/>
      <c r="P33" s="77"/>
      <c r="Q33" s="77"/>
      <c r="R33" s="77"/>
      <c r="S33" s="77"/>
      <c r="T33" s="77"/>
      <c r="U33" s="77"/>
      <c r="V33" s="77"/>
      <c r="W33" s="77"/>
      <c r="X33" s="77"/>
      <c r="Y33" s="48" t="str">
        <f>Фрезеровки!M35</f>
        <v>Балюстрада верхняя 1,4</v>
      </c>
      <c r="AE33" s="65"/>
      <c r="AF33" s="124" t="s">
        <v>228</v>
      </c>
    </row>
    <row r="34" spans="6:32" s="48" customFormat="1" hidden="1" x14ac:dyDescent="0.2">
      <c r="F34" s="48" t="str">
        <f>IF($F$176=5,AF34,Фрезеровки!B36)</f>
        <v>дек.накладка Орлеан</v>
      </c>
      <c r="J34" s="48" t="str">
        <f>IF($F$176=5,"-",Фрезеровки!H36)</f>
        <v>Ельче S-обр</v>
      </c>
      <c r="L34" s="55"/>
      <c r="M34" s="77"/>
      <c r="N34" s="77"/>
      <c r="O34" s="77"/>
      <c r="P34" s="77"/>
      <c r="Q34" s="77"/>
      <c r="R34" s="77"/>
      <c r="S34" s="77"/>
      <c r="T34" s="77"/>
      <c r="U34" s="77"/>
      <c r="V34" s="77"/>
      <c r="W34" s="77"/>
      <c r="X34" s="77"/>
      <c r="Y34" s="48" t="str">
        <f>Фрезеровки!M36</f>
        <v>Балюстрада нижняя 1,4</v>
      </c>
      <c r="AE34" s="65"/>
      <c r="AF34" s="124" t="s">
        <v>228</v>
      </c>
    </row>
    <row r="35" spans="6:32" s="48" customFormat="1" hidden="1" x14ac:dyDescent="0.2">
      <c r="F35" s="48" t="str">
        <f>IF($F$176=5,AF35,Фрезеровки!B37)</f>
        <v>дек.накладка Петергоф</v>
      </c>
      <c r="J35" s="48" t="str">
        <f>IF($F$176=5,"-",Фрезеровки!H37)</f>
        <v>Ельче ВОГН</v>
      </c>
      <c r="L35" s="55"/>
      <c r="M35" s="77"/>
      <c r="N35" s="77"/>
      <c r="O35" s="77"/>
      <c r="P35" s="77"/>
      <c r="Q35" s="77"/>
      <c r="R35" s="77"/>
      <c r="S35" s="77"/>
      <c r="T35" s="77"/>
      <c r="U35" s="77"/>
      <c r="V35" s="77"/>
      <c r="W35" s="77"/>
      <c r="X35" s="77"/>
      <c r="Y35" s="48" t="str">
        <f>Фрезеровки!M37</f>
        <v>Балюстрада верхняя R гн</v>
      </c>
      <c r="AE35" s="65"/>
      <c r="AF35" s="124" t="s">
        <v>228</v>
      </c>
    </row>
    <row r="36" spans="6:32" s="48" customFormat="1" hidden="1" x14ac:dyDescent="0.2">
      <c r="F36" s="48" t="str">
        <f>IF($F$176=5,AF36,Фрезеровки!B38)</f>
        <v>дек.накладка Риан</v>
      </c>
      <c r="J36" s="48" t="str">
        <f>IF($F$176=5,"-",Фрезеровки!H38)</f>
        <v>Ельче ГН</v>
      </c>
      <c r="L36" s="55"/>
      <c r="M36" s="77"/>
      <c r="N36" s="77"/>
      <c r="O36" s="77"/>
      <c r="P36" s="77"/>
      <c r="Q36" s="77"/>
      <c r="R36" s="77"/>
      <c r="S36" s="77"/>
      <c r="T36" s="77"/>
      <c r="U36" s="77"/>
      <c r="V36" s="77"/>
      <c r="W36" s="77"/>
      <c r="X36" s="77"/>
      <c r="Y36" s="48" t="str">
        <f>Фрезеровки!M38</f>
        <v>Балюстрада нижняя R гн</v>
      </c>
      <c r="AE36" s="65"/>
      <c r="AF36" s="124" t="s">
        <v>228</v>
      </c>
    </row>
    <row r="37" spans="6:32" s="48" customFormat="1" hidden="1" x14ac:dyDescent="0.2">
      <c r="F37" s="48" t="str">
        <f>IF($F$176=5,AF37,Фрезеровки!B39)</f>
        <v>дек.накладка Рондо 1</v>
      </c>
      <c r="J37" s="48" t="str">
        <f>IF($F$176=5,"-",Фрезеровки!H39)</f>
        <v>Дуга S-обр</v>
      </c>
      <c r="L37" s="55"/>
      <c r="M37" s="77"/>
      <c r="N37" s="77"/>
      <c r="O37" s="77"/>
      <c r="P37" s="77"/>
      <c r="Q37" s="77"/>
      <c r="R37" s="77"/>
      <c r="S37" s="77"/>
      <c r="T37" s="77"/>
      <c r="U37" s="77"/>
      <c r="V37" s="77"/>
      <c r="W37" s="77"/>
      <c r="X37" s="77"/>
      <c r="Y37" s="48" t="str">
        <f>Фрезеровки!M39</f>
        <v>Балюстрада верхняя R вогн</v>
      </c>
      <c r="AE37" s="65"/>
      <c r="AF37" s="124" t="s">
        <v>228</v>
      </c>
    </row>
    <row r="38" spans="6:32" s="48" customFormat="1" hidden="1" x14ac:dyDescent="0.2">
      <c r="F38" s="48" t="str">
        <f>IF($F$176=5,AF38,Фрезеровки!B40)</f>
        <v>дек.накладка Рондо 2</v>
      </c>
      <c r="J38" s="48" t="str">
        <f>IF($F$176=5,"-",Фрезеровки!H40)</f>
        <v>Дуга ВОГН</v>
      </c>
      <c r="L38" s="55"/>
      <c r="M38" s="77"/>
      <c r="N38" s="77"/>
      <c r="O38" s="77"/>
      <c r="P38" s="77"/>
      <c r="Q38" s="77"/>
      <c r="R38" s="77"/>
      <c r="S38" s="77"/>
      <c r="T38" s="77"/>
      <c r="U38" s="77"/>
      <c r="V38" s="77"/>
      <c r="W38" s="77"/>
      <c r="X38" s="77"/>
      <c r="Y38" s="48" t="str">
        <f>Фрезеровки!M40</f>
        <v>Балюстрада нижняя R вогн</v>
      </c>
      <c r="AE38" s="65"/>
      <c r="AF38" s="124" t="s">
        <v>228</v>
      </c>
    </row>
    <row r="39" spans="6:32" s="48" customFormat="1" hidden="1" x14ac:dyDescent="0.2">
      <c r="F39" s="48" t="str">
        <f>IF($F$176=5,AF39,Фрезеровки!B41)</f>
        <v>дек.накладка Соната 1</v>
      </c>
      <c r="J39" s="48" t="str">
        <f>IF($F$176=5,"-",Фрезеровки!H41)</f>
        <v>Дуга ГН</v>
      </c>
      <c r="L39" s="55"/>
      <c r="M39" s="77"/>
      <c r="N39" s="77"/>
      <c r="O39" s="77"/>
      <c r="P39" s="77"/>
      <c r="Q39" s="77"/>
      <c r="R39" s="77"/>
      <c r="S39" s="77"/>
      <c r="T39" s="77"/>
      <c r="U39" s="77"/>
      <c r="V39" s="77"/>
      <c r="W39" s="77"/>
      <c r="X39" s="77"/>
      <c r="Y39" s="48" t="str">
        <f>Фрезеровки!M41</f>
        <v>Угловая меб.планка фарб. 0,72м.п.</v>
      </c>
      <c r="AE39" s="65"/>
      <c r="AF39" s="124" t="s">
        <v>228</v>
      </c>
    </row>
    <row r="40" spans="6:32" s="48" customFormat="1" hidden="1" x14ac:dyDescent="0.2">
      <c r="F40" s="48" t="str">
        <f>IF($F$176=5,AF40,Фрезеровки!B42)</f>
        <v>дек.накладка Соната 2</v>
      </c>
      <c r="J40" s="48" t="str">
        <f>IF($F$176=5,"-",Фрезеровки!H42)</f>
        <v>Дуга двойна S-обр</v>
      </c>
      <c r="L40" s="55"/>
      <c r="M40" s="77"/>
      <c r="N40" s="77"/>
      <c r="O40" s="77"/>
      <c r="P40" s="77"/>
      <c r="Q40" s="77"/>
      <c r="R40" s="77"/>
      <c r="S40" s="77"/>
      <c r="T40" s="77"/>
      <c r="U40" s="77"/>
      <c r="V40" s="77"/>
      <c r="W40" s="77"/>
      <c r="X40" s="77"/>
      <c r="Y40" s="48" t="str">
        <f>Фрезеровки!M42</f>
        <v>Мягкий угол фарб. 1,8м.п.</v>
      </c>
      <c r="AE40" s="65"/>
      <c r="AF40" s="124" t="s">
        <v>228</v>
      </c>
    </row>
    <row r="41" spans="6:32" s="48" customFormat="1" hidden="1" x14ac:dyDescent="0.2">
      <c r="F41" s="48" t="str">
        <f>IF($F$176=5,AF41,Фрезеровки!B43)</f>
        <v>дек.накладка Соната 3</v>
      </c>
      <c r="J41" s="48" t="str">
        <f>IF($F$176=5,"-",Фрезеровки!H43)</f>
        <v>Дуга двойна ГН</v>
      </c>
      <c r="L41" s="55"/>
      <c r="M41" s="77"/>
      <c r="N41" s="77"/>
      <c r="O41" s="77"/>
      <c r="P41" s="77"/>
      <c r="Q41" s="77"/>
      <c r="R41" s="77"/>
      <c r="S41" s="77"/>
      <c r="T41" s="77"/>
      <c r="U41" s="77"/>
      <c r="V41" s="77"/>
      <c r="W41" s="77"/>
      <c r="X41" s="77"/>
      <c r="Y41" s="48" t="str">
        <f>Фрезеровки!M43</f>
        <v>Профиль под скрытую ручку фарб. 2м.п.</v>
      </c>
      <c r="AE41" s="65"/>
      <c r="AF41" s="124" t="s">
        <v>228</v>
      </c>
    </row>
    <row r="42" spans="6:32" s="48" customFormat="1" hidden="1" x14ac:dyDescent="0.2">
      <c r="F42" s="48" t="str">
        <f>IF($F$176=5,AF42,Фрезеровки!B44)</f>
        <v>дек.накладка София</v>
      </c>
      <c r="J42" s="48" t="str">
        <f>IF($F$176=5,"-",Фрезеровки!H44)</f>
        <v>Дуга двона ВОГН</v>
      </c>
      <c r="L42" s="55"/>
      <c r="M42" s="77"/>
      <c r="N42" s="77"/>
      <c r="O42" s="77"/>
      <c r="P42" s="77"/>
      <c r="Q42" s="77"/>
      <c r="R42" s="77"/>
      <c r="S42" s="77"/>
      <c r="T42" s="77"/>
      <c r="U42" s="77"/>
      <c r="V42" s="77"/>
      <c r="W42" s="77"/>
      <c r="X42" s="77"/>
      <c r="Y42" s="48" t="str">
        <f>Фрезеровки!M44</f>
        <v>Радиусный фасад 16 гн (F800 тип2)</v>
      </c>
      <c r="Z42" s="114"/>
      <c r="AA42" s="114"/>
      <c r="AE42" s="65"/>
      <c r="AF42" s="124" t="s">
        <v>228</v>
      </c>
    </row>
    <row r="43" spans="6:32" s="48" customFormat="1" hidden="1" x14ac:dyDescent="0.2">
      <c r="F43" s="48" t="str">
        <f>IF($F$176=5,AF43,Фрезеровки!B45)</f>
        <v>дек.накладка Тулон</v>
      </c>
      <c r="J43" s="48" t="str">
        <f>IF($F$176=5,"-",Фрезеровки!H45)</f>
        <v>Дуга массив S-обр</v>
      </c>
      <c r="L43" s="55"/>
      <c r="M43" s="77"/>
      <c r="N43" s="77"/>
      <c r="O43" s="77"/>
      <c r="P43" s="77"/>
      <c r="Q43" s="77"/>
      <c r="R43" s="77"/>
      <c r="S43" s="77"/>
      <c r="T43" s="77"/>
      <c r="U43" s="77"/>
      <c r="V43" s="77"/>
      <c r="W43" s="77"/>
      <c r="X43" s="77"/>
      <c r="Y43" s="48" t="str">
        <f>Фрезеровки!M45</f>
        <v>Радиусный фасад 19 гн (F800 тип2)</v>
      </c>
      <c r="AE43" s="65"/>
      <c r="AF43" s="124" t="s">
        <v>228</v>
      </c>
    </row>
    <row r="44" spans="6:32" s="48" customFormat="1" hidden="1" x14ac:dyDescent="0.2">
      <c r="F44" s="48" t="str">
        <f>IF($F$176=5,AF44,Фрезеровки!B46)</f>
        <v>дек.планка Адель</v>
      </c>
      <c r="J44" s="48" t="str">
        <f>IF($F$176=5,"-",Фрезеровки!H46)</f>
        <v>Дуга массив ВОГН</v>
      </c>
      <c r="L44" s="55"/>
      <c r="M44" s="77"/>
      <c r="N44" s="77"/>
      <c r="O44" s="77"/>
      <c r="P44" s="77"/>
      <c r="Q44" s="77"/>
      <c r="R44" s="77"/>
      <c r="S44" s="77"/>
      <c r="T44" s="77"/>
      <c r="U44" s="77"/>
      <c r="V44" s="77"/>
      <c r="W44" s="77"/>
      <c r="X44" s="77"/>
      <c r="Y44" s="48">
        <f>Фрезеровки!M46</f>
        <v>0</v>
      </c>
      <c r="AE44" s="65"/>
      <c r="AF44" s="124" t="s">
        <v>228</v>
      </c>
    </row>
    <row r="45" spans="6:32" s="48" customFormat="1" hidden="1" x14ac:dyDescent="0.2">
      <c r="F45" s="48" t="str">
        <f>IF($F$176=5,AF45,Фрезеровки!B47)</f>
        <v>дек.планка Анже</v>
      </c>
      <c r="J45" s="48" t="str">
        <f>IF($F$176=5,"-",Фрезеровки!H47)</f>
        <v>Дуга массив ГН</v>
      </c>
      <c r="L45" s="55"/>
      <c r="M45" s="77"/>
      <c r="N45" s="77"/>
      <c r="O45" s="77"/>
      <c r="P45" s="77"/>
      <c r="Q45" s="77"/>
      <c r="R45" s="77"/>
      <c r="S45" s="77"/>
      <c r="T45" s="77"/>
      <c r="U45" s="77"/>
      <c r="V45" s="77"/>
      <c r="W45" s="77"/>
      <c r="X45" s="77"/>
      <c r="Y45" s="139">
        <f>Фрезеровки!M47</f>
        <v>0</v>
      </c>
      <c r="Z45" s="82"/>
      <c r="AE45" s="65"/>
      <c r="AF45" s="124" t="s">
        <v>228</v>
      </c>
    </row>
    <row r="46" spans="6:32" s="48" customFormat="1" hidden="1" x14ac:dyDescent="0.2">
      <c r="F46" s="48" t="str">
        <f>IF($F$176=5,AF46,Фрезеровки!B48)</f>
        <v>дек.планка Довиль</v>
      </c>
      <c r="J46" s="48" t="str">
        <f>IF($F$176=5,"-",Фрезеровки!H48)</f>
        <v>ДуЕт S-обр (лівий)</v>
      </c>
      <c r="L46" s="55"/>
      <c r="M46" s="77"/>
      <c r="N46" s="77"/>
      <c r="O46" s="77"/>
      <c r="P46" s="77"/>
      <c r="Q46" s="77"/>
      <c r="R46" s="77"/>
      <c r="S46" s="77"/>
      <c r="T46" s="77"/>
      <c r="U46" s="77"/>
      <c r="V46" s="77"/>
      <c r="W46" s="77"/>
      <c r="X46" s="77"/>
      <c r="AE46" s="65"/>
      <c r="AF46" s="124" t="s">
        <v>228</v>
      </c>
    </row>
    <row r="47" spans="6:32" s="48" customFormat="1" hidden="1" x14ac:dyDescent="0.2">
      <c r="F47" s="48" t="str">
        <f>IF($F$176=5,AF47,Фрезеровки!B49)</f>
        <v>дек.планка Классик</v>
      </c>
      <c r="J47" s="48" t="str">
        <f>IF($F$176=5,"-",Фрезеровки!H49)</f>
        <v>ДуЕт S-обр (правий)</v>
      </c>
      <c r="L47" s="55"/>
      <c r="M47" s="77"/>
      <c r="N47" s="77"/>
      <c r="O47" s="77"/>
      <c r="P47" s="77"/>
      <c r="Q47" s="77"/>
      <c r="R47" s="77"/>
      <c r="S47" s="77"/>
      <c r="T47" s="77"/>
      <c r="U47" s="77"/>
      <c r="V47" s="77"/>
      <c r="W47" s="77"/>
      <c r="X47" s="77"/>
      <c r="Z47" s="114"/>
      <c r="AA47" s="114"/>
      <c r="AE47" s="65"/>
      <c r="AF47" s="124" t="s">
        <v>228</v>
      </c>
    </row>
    <row r="48" spans="6:32" s="48" customFormat="1" hidden="1" x14ac:dyDescent="0.2">
      <c r="F48" s="48" t="str">
        <f>IF($F$176=5,AF48,Фрезеровки!B50)</f>
        <v>дек.планка Колонна</v>
      </c>
      <c r="J48" s="48" t="str">
        <f>IF($F$176=5,"-",Фрезеровки!H50)</f>
        <v>ДуЕт ВОГН (лівий)</v>
      </c>
      <c r="L48" s="55"/>
      <c r="M48" s="77"/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77"/>
      <c r="AE48" s="65"/>
      <c r="AF48" s="124" t="s">
        <v>228</v>
      </c>
    </row>
    <row r="49" spans="6:32" s="48" customFormat="1" hidden="1" x14ac:dyDescent="0.2">
      <c r="F49" s="48" t="str">
        <f>IF($F$176=5,AF49,Фрезеровки!B51)</f>
        <v>дек.планка Модерн</v>
      </c>
      <c r="J49" s="48" t="str">
        <f>IF($F$176=5,"-",Фрезеровки!H51)</f>
        <v>ДуЕт ВОГН (правий)</v>
      </c>
      <c r="L49" s="55"/>
      <c r="M49" s="77"/>
      <c r="N49" s="77"/>
      <c r="O49" s="77"/>
      <c r="P49" s="77"/>
      <c r="Q49" s="77"/>
      <c r="R49" s="77"/>
      <c r="S49" s="77"/>
      <c r="T49" s="77"/>
      <c r="U49" s="77"/>
      <c r="V49" s="77"/>
      <c r="W49" s="77"/>
      <c r="X49" s="77"/>
      <c r="AE49" s="65"/>
      <c r="AF49" s="124" t="s">
        <v>228</v>
      </c>
    </row>
    <row r="50" spans="6:32" s="48" customFormat="1" hidden="1" x14ac:dyDescent="0.2">
      <c r="F50" s="48" t="str">
        <f>IF($F$176=5,AF50,Фрезеровки!B52)</f>
        <v>дек.планка Орлеан</v>
      </c>
      <c r="J50" s="48" t="str">
        <f>IF($F$176=5,"-",Фрезеровки!H52)</f>
        <v>ДуЕт ГН (лівий)</v>
      </c>
      <c r="L50" s="55"/>
      <c r="M50" s="77"/>
      <c r="N50" s="77"/>
      <c r="O50" s="77"/>
      <c r="P50" s="77"/>
      <c r="Q50" s="77"/>
      <c r="R50" s="77"/>
      <c r="S50" s="77"/>
      <c r="T50" s="77"/>
      <c r="U50" s="77"/>
      <c r="V50" s="77"/>
      <c r="W50" s="77"/>
      <c r="X50" s="77"/>
      <c r="AE50" s="65"/>
      <c r="AF50" s="124" t="s">
        <v>228</v>
      </c>
    </row>
    <row r="51" spans="6:32" s="48" customFormat="1" hidden="1" x14ac:dyDescent="0.2">
      <c r="F51" s="48" t="str">
        <f>IF($F$176=5,AF51,Фрезеровки!B53)</f>
        <v>дек.планка Париж</v>
      </c>
      <c r="J51" s="48" t="str">
        <f>IF($F$176=5,"-",Фрезеровки!H53)</f>
        <v>ДуЕт ГН (правий)</v>
      </c>
      <c r="L51" s="55"/>
      <c r="M51" s="77"/>
      <c r="N51" s="77"/>
      <c r="O51" s="77"/>
      <c r="P51" s="77"/>
      <c r="Q51" s="77"/>
      <c r="R51" s="77"/>
      <c r="S51" s="77"/>
      <c r="T51" s="77"/>
      <c r="U51" s="77"/>
      <c r="V51" s="77"/>
      <c r="W51" s="77"/>
      <c r="X51" s="77"/>
      <c r="AE51" s="65"/>
      <c r="AF51" s="124" t="s">
        <v>228</v>
      </c>
    </row>
    <row r="52" spans="6:32" s="48" customFormat="1" hidden="1" x14ac:dyDescent="0.2">
      <c r="F52" s="48" t="str">
        <f>IF($F$176=5,AF52,Фрезеровки!B54)</f>
        <v>дек.планка Позитано</v>
      </c>
      <c r="J52" s="48" t="str">
        <f>IF($F$176=5,"-",Фрезеровки!H54)</f>
        <v>Женева ГН</v>
      </c>
      <c r="L52" s="55"/>
      <c r="M52" s="77"/>
      <c r="N52" s="77"/>
      <c r="O52" s="77"/>
      <c r="P52" s="77"/>
      <c r="Q52" s="77"/>
      <c r="R52" s="77"/>
      <c r="S52" s="77"/>
      <c r="T52" s="77"/>
      <c r="U52" s="77"/>
      <c r="V52" s="77"/>
      <c r="W52" s="77"/>
      <c r="X52" s="77"/>
      <c r="AE52" s="65"/>
      <c r="AF52" s="124" t="s">
        <v>228</v>
      </c>
    </row>
    <row r="53" spans="6:32" s="48" customFormat="1" hidden="1" x14ac:dyDescent="0.2">
      <c r="F53" s="48" t="str">
        <f>IF($F$176=5,AF53,Фрезеровки!B55)</f>
        <v>дек.планка Рим</v>
      </c>
      <c r="J53" s="48" t="str">
        <f>IF($F$176=5,"-",Фрезеровки!H55)</f>
        <v>Женева ВОГН (витрина)</v>
      </c>
      <c r="L53" s="55"/>
      <c r="M53" s="77"/>
      <c r="N53" s="77"/>
      <c r="O53" s="77"/>
      <c r="P53" s="77"/>
      <c r="Q53" s="77"/>
      <c r="R53" s="77"/>
      <c r="S53" s="77"/>
      <c r="T53" s="77"/>
      <c r="U53" s="77"/>
      <c r="V53" s="77"/>
      <c r="W53" s="77"/>
      <c r="X53" s="77"/>
      <c r="AE53" s="65"/>
      <c r="AF53" s="124" t="s">
        <v>228</v>
      </c>
    </row>
    <row r="54" spans="6:32" s="48" customFormat="1" hidden="1" x14ac:dyDescent="0.2">
      <c r="F54" s="48" t="str">
        <f>IF($F$176=5,AF54,Фрезеровки!B56)</f>
        <v>дек.планка Универсальна</v>
      </c>
      <c r="J54" s="48" t="str">
        <f>IF($F$176=5,"-",Фрезеровки!H56)</f>
        <v>Кантри S-обр (лівий)</v>
      </c>
      <c r="L54" s="55"/>
      <c r="M54" s="77"/>
      <c r="N54" s="77"/>
      <c r="O54" s="77"/>
      <c r="P54" s="77"/>
      <c r="Q54" s="77"/>
      <c r="R54" s="77"/>
      <c r="S54" s="77"/>
      <c r="T54" s="77"/>
      <c r="U54" s="77"/>
      <c r="V54" s="77"/>
      <c r="W54" s="77"/>
      <c r="X54" s="77"/>
      <c r="AE54" s="65"/>
      <c r="AF54" s="124" t="s">
        <v>228</v>
      </c>
    </row>
    <row r="55" spans="6:32" s="48" customFormat="1" hidden="1" x14ac:dyDescent="0.2">
      <c r="F55" s="48" t="str">
        <f>IF($F$176=5,AF55,Фрезеровки!B57)</f>
        <v>Довиль</v>
      </c>
      <c r="J55" s="48" t="str">
        <f>IF($F$176=5,"-",Фрезеровки!H57)</f>
        <v>Кантри S-обр (правий)</v>
      </c>
      <c r="L55" s="55"/>
      <c r="M55" s="77"/>
      <c r="N55" s="77"/>
      <c r="O55" s="77"/>
      <c r="P55" s="77"/>
      <c r="Q55" s="77"/>
      <c r="R55" s="77"/>
      <c r="S55" s="77"/>
      <c r="T55" s="77"/>
      <c r="U55" s="77"/>
      <c r="V55" s="77"/>
      <c r="W55" s="77"/>
      <c r="X55" s="77"/>
      <c r="AE55" s="65"/>
      <c r="AF55" s="124" t="s">
        <v>228</v>
      </c>
    </row>
    <row r="56" spans="6:32" s="48" customFormat="1" hidden="1" x14ac:dyDescent="0.2">
      <c r="F56" s="48" t="str">
        <f>IF($F$176=5,AF56,Фрезеровки!B58)</f>
        <v>Дублин</v>
      </c>
      <c r="J56" s="48" t="str">
        <f>IF($F$176=5,"-",Фрезеровки!H58)</f>
        <v>Кантри ВОГН (лівий)</v>
      </c>
      <c r="L56" s="55"/>
      <c r="M56" s="77"/>
      <c r="N56" s="77"/>
      <c r="O56" s="77"/>
      <c r="P56" s="77"/>
      <c r="Q56" s="77"/>
      <c r="R56" s="77"/>
      <c r="S56" s="77"/>
      <c r="T56" s="77"/>
      <c r="U56" s="77"/>
      <c r="V56" s="77"/>
      <c r="W56" s="77"/>
      <c r="X56" s="77"/>
      <c r="AE56" s="65"/>
      <c r="AF56" s="124" t="s">
        <v>228</v>
      </c>
    </row>
    <row r="57" spans="6:32" s="48" customFormat="1" hidden="1" x14ac:dyDescent="0.2">
      <c r="F57" s="48" t="str">
        <f>IF($F$176=5,AF57,Фрезеровки!B59)</f>
        <v>Ельче</v>
      </c>
      <c r="J57" s="48" t="str">
        <f>IF($F$176=5,"-",Фрезеровки!H59)</f>
        <v>Кантри ВОГН (правий)</v>
      </c>
      <c r="L57" s="55"/>
      <c r="M57" s="77"/>
      <c r="N57" s="77"/>
      <c r="O57" s="77"/>
      <c r="P57" s="77"/>
      <c r="Q57" s="77"/>
      <c r="R57" s="77"/>
      <c r="S57" s="77"/>
      <c r="T57" s="77"/>
      <c r="U57" s="77"/>
      <c r="V57" s="77"/>
      <c r="W57" s="77"/>
      <c r="X57" s="77"/>
      <c r="AE57" s="65"/>
      <c r="AF57" s="124" t="s">
        <v>228</v>
      </c>
    </row>
    <row r="58" spans="6:32" s="48" customFormat="1" hidden="1" x14ac:dyDescent="0.2">
      <c r="F58" s="48" t="str">
        <f>IF($F$176=5,AF58,Фрезеровки!B60)</f>
        <v>Дуга</v>
      </c>
      <c r="J58" s="48" t="str">
        <f>IF($F$176=5,"-",Фрезеровки!H60)</f>
        <v>Кантри ГН (лівий)</v>
      </c>
      <c r="L58" s="55"/>
      <c r="M58" s="77"/>
      <c r="N58" s="77"/>
      <c r="O58" s="77"/>
      <c r="P58" s="77"/>
      <c r="Q58" s="77"/>
      <c r="R58" s="77"/>
      <c r="S58" s="77"/>
      <c r="T58" s="77"/>
      <c r="U58" s="77"/>
      <c r="V58" s="77"/>
      <c r="W58" s="77"/>
      <c r="X58" s="77"/>
      <c r="AE58" s="65"/>
      <c r="AF58" s="124" t="s">
        <v>228</v>
      </c>
    </row>
    <row r="59" spans="6:32" s="48" customFormat="1" hidden="1" x14ac:dyDescent="0.2">
      <c r="F59" s="48" t="str">
        <f>IF($F$176=5,AF59,Фрезеровки!B61)</f>
        <v>Дуга двойна</v>
      </c>
      <c r="J59" s="48" t="str">
        <f>IF($F$176=5,"-",Фрезеровки!H61)</f>
        <v>Кантри ГН (правий)</v>
      </c>
      <c r="L59" s="55"/>
      <c r="M59" s="77"/>
      <c r="N59" s="77"/>
      <c r="O59" s="77"/>
      <c r="P59" s="77"/>
      <c r="Q59" s="77"/>
      <c r="R59" s="77"/>
      <c r="S59" s="77"/>
      <c r="T59" s="77"/>
      <c r="U59" s="77"/>
      <c r="V59" s="77"/>
      <c r="W59" s="77"/>
      <c r="X59" s="77"/>
      <c r="AE59" s="65"/>
      <c r="AF59" s="124" t="s">
        <v>228</v>
      </c>
    </row>
    <row r="60" spans="6:32" s="48" customFormat="1" hidden="1" x14ac:dyDescent="0.2">
      <c r="F60" s="48" t="str">
        <f>IF($F$176=5,AF60,Фрезеровки!B62)</f>
        <v>Дуга массив</v>
      </c>
      <c r="J60" s="48" t="str">
        <f>IF($F$176=5,"-",Фрезеровки!H62)</f>
        <v>Краков S-обр</v>
      </c>
      <c r="L60" s="55"/>
      <c r="M60" s="77"/>
      <c r="N60" s="77"/>
      <c r="O60" s="77"/>
      <c r="P60" s="77"/>
      <c r="Q60" s="77"/>
      <c r="R60" s="77"/>
      <c r="S60" s="77"/>
      <c r="T60" s="77"/>
      <c r="U60" s="77"/>
      <c r="V60" s="77"/>
      <c r="W60" s="77"/>
      <c r="X60" s="77"/>
      <c r="AE60" s="65"/>
      <c r="AF60" s="124" t="s">
        <v>228</v>
      </c>
    </row>
    <row r="61" spans="6:32" s="48" customFormat="1" hidden="1" x14ac:dyDescent="0.2">
      <c r="F61" s="48" t="str">
        <f>IF($F$176=5,AF61,Фрезеровки!B63)</f>
        <v>ДуЕт (лівий)</v>
      </c>
      <c r="J61" s="48" t="str">
        <f>IF($F$176=5,"-",Фрезеровки!H63)</f>
        <v>Краков ВОГН (витрина)</v>
      </c>
      <c r="L61" s="55"/>
      <c r="M61" s="77"/>
      <c r="N61" s="77"/>
      <c r="O61" s="77"/>
      <c r="P61" s="77"/>
      <c r="Q61" s="77"/>
      <c r="R61" s="77"/>
      <c r="S61" s="77"/>
      <c r="T61" s="77"/>
      <c r="U61" s="77"/>
      <c r="V61" s="77"/>
      <c r="W61" s="77"/>
      <c r="X61" s="77"/>
      <c r="AE61" s="65"/>
      <c r="AF61" s="124" t="s">
        <v>228</v>
      </c>
    </row>
    <row r="62" spans="6:32" s="48" customFormat="1" hidden="1" x14ac:dyDescent="0.2">
      <c r="F62" s="48" t="str">
        <f>IF($F$176=5,AF62,Фрезеровки!B64)</f>
        <v>ДуЕт (правий)</v>
      </c>
      <c r="J62" s="48" t="str">
        <f>IF($F$176=5,"-",Фрезеровки!H64)</f>
        <v>Краков ГН</v>
      </c>
      <c r="L62" s="55"/>
      <c r="M62" s="77"/>
      <c r="N62" s="77"/>
      <c r="O62" s="77"/>
      <c r="P62" s="77"/>
      <c r="Q62" s="77"/>
      <c r="R62" s="77"/>
      <c r="S62" s="77"/>
      <c r="T62" s="77"/>
      <c r="U62" s="77"/>
      <c r="V62" s="77"/>
      <c r="W62" s="77"/>
      <c r="X62" s="77"/>
      <c r="AE62" s="65"/>
      <c r="AF62" s="124" t="s">
        <v>228</v>
      </c>
    </row>
    <row r="63" spans="6:32" s="48" customFormat="1" hidden="1" x14ac:dyDescent="0.2">
      <c r="F63" s="48" t="str">
        <f>IF($F$176=5,AF63,Фрезеровки!B65)</f>
        <v>Женева</v>
      </c>
      <c r="J63" s="48" t="str">
        <f>IF($F$176=5,"-",Фрезеровки!H65)</f>
        <v>Ливерпуль ВОГН</v>
      </c>
      <c r="L63" s="55"/>
      <c r="M63" s="77"/>
      <c r="N63" s="77"/>
      <c r="O63" s="77"/>
      <c r="P63" s="77"/>
      <c r="Q63" s="77"/>
      <c r="R63" s="77"/>
      <c r="S63" s="77"/>
      <c r="T63" s="77"/>
      <c r="U63" s="77"/>
      <c r="V63" s="77"/>
      <c r="W63" s="77"/>
      <c r="X63" s="77"/>
      <c r="AE63" s="65"/>
      <c r="AF63" s="124" t="s">
        <v>228</v>
      </c>
    </row>
    <row r="64" spans="6:32" s="48" customFormat="1" hidden="1" x14ac:dyDescent="0.2">
      <c r="F64" s="48" t="str">
        <f>IF($F$176=5,AF64,Фрезеровки!B66)</f>
        <v>Кантри (лівий)</v>
      </c>
      <c r="J64" s="48" t="str">
        <f>IF($F$176=5,"-",Фрезеровки!H66)</f>
        <v>Ливерпуль ГН</v>
      </c>
      <c r="L64" s="55"/>
      <c r="M64" s="77"/>
      <c r="N64" s="77"/>
      <c r="O64" s="77"/>
      <c r="P64" s="77"/>
      <c r="Q64" s="77"/>
      <c r="R64" s="77"/>
      <c r="S64" s="77"/>
      <c r="T64" s="77"/>
      <c r="U64" s="77"/>
      <c r="V64" s="77"/>
      <c r="W64" s="77"/>
      <c r="X64" s="77"/>
      <c r="AE64" s="65"/>
      <c r="AF64" s="124" t="s">
        <v>228</v>
      </c>
    </row>
    <row r="65" spans="6:32" s="48" customFormat="1" hidden="1" x14ac:dyDescent="0.2">
      <c r="F65" s="48" t="str">
        <f>IF($F$176=5,AF65,Фрезеровки!B67)</f>
        <v>Кантри (правий)</v>
      </c>
      <c r="J65" s="48" t="str">
        <f>IF($F$176=5,"-",Фрезеровки!H67)</f>
        <v>Лилия S-обр</v>
      </c>
      <c r="L65" s="55"/>
      <c r="M65" s="77"/>
      <c r="N65" s="77"/>
      <c r="O65" s="77"/>
      <c r="P65" s="77"/>
      <c r="Q65" s="77"/>
      <c r="R65" s="77"/>
      <c r="S65" s="77"/>
      <c r="T65" s="77"/>
      <c r="U65" s="77"/>
      <c r="V65" s="77"/>
      <c r="W65" s="77"/>
      <c r="X65" s="77"/>
      <c r="AE65" s="65"/>
      <c r="AF65" s="124" t="s">
        <v>228</v>
      </c>
    </row>
    <row r="66" spans="6:32" s="48" customFormat="1" hidden="1" x14ac:dyDescent="0.2">
      <c r="F66" s="48" t="str">
        <f>IF($F$176=5,AF66,Фрезеровки!B68)</f>
        <v>Кельн 51</v>
      </c>
      <c r="J66" s="48" t="str">
        <f>IF($F$176=5,"-",Фрезеровки!H68)</f>
        <v>Лилия ВОГН</v>
      </c>
      <c r="L66" s="55"/>
      <c r="M66" s="77"/>
      <c r="N66" s="77"/>
      <c r="O66" s="77"/>
      <c r="P66" s="77"/>
      <c r="Q66" s="77"/>
      <c r="R66" s="77"/>
      <c r="S66" s="77"/>
      <c r="T66" s="77"/>
      <c r="U66" s="77"/>
      <c r="V66" s="77"/>
      <c r="W66" s="77"/>
      <c r="X66" s="77"/>
      <c r="AE66" s="65"/>
      <c r="AF66" s="124" t="s">
        <v>228</v>
      </c>
    </row>
    <row r="67" spans="6:32" s="48" customFormat="1" hidden="1" x14ac:dyDescent="0.2">
      <c r="F67" s="48" t="str">
        <f>IF($F$176=5,AF67,Фрезеровки!B69)</f>
        <v>Кельн 71</v>
      </c>
      <c r="J67" s="48" t="str">
        <f>IF($F$176=5,"-",Фрезеровки!H69)</f>
        <v>Лилия ГН</v>
      </c>
      <c r="L67" s="55"/>
      <c r="M67" s="77"/>
      <c r="N67" s="77"/>
      <c r="O67" s="77"/>
      <c r="P67" s="77"/>
      <c r="Q67" s="77"/>
      <c r="R67" s="77"/>
      <c r="S67" s="77"/>
      <c r="T67" s="77"/>
      <c r="U67" s="77"/>
      <c r="V67" s="77"/>
      <c r="W67" s="77"/>
      <c r="X67" s="77"/>
      <c r="AE67" s="65"/>
      <c r="AF67" s="124" t="s">
        <v>228</v>
      </c>
    </row>
    <row r="68" spans="6:32" s="48" customFormat="1" hidden="1" x14ac:dyDescent="0.2">
      <c r="F68" s="48" t="str">
        <f>IF($F$176=5,AF68,Фрезеровки!B70)</f>
        <v>Классик 51</v>
      </c>
      <c r="J68" s="48" t="str">
        <f>IF($F$176=5,"-",Фрезеровки!H70)</f>
        <v>Лондон S-обр</v>
      </c>
      <c r="L68" s="55"/>
      <c r="M68" s="77"/>
      <c r="N68" s="77"/>
      <c r="O68" s="77"/>
      <c r="P68" s="77"/>
      <c r="Q68" s="77"/>
      <c r="R68" s="77"/>
      <c r="S68" s="77"/>
      <c r="T68" s="77"/>
      <c r="U68" s="77"/>
      <c r="V68" s="77"/>
      <c r="W68" s="77"/>
      <c r="X68" s="77"/>
      <c r="AE68" s="65"/>
      <c r="AF68" s="124" t="s">
        <v>228</v>
      </c>
    </row>
    <row r="69" spans="6:32" s="48" customFormat="1" hidden="1" x14ac:dyDescent="0.2">
      <c r="F69" s="48" t="str">
        <f>IF($F$176=5,AF69,Фрезеровки!B71)</f>
        <v>Классик 71</v>
      </c>
      <c r="J69" s="48" t="str">
        <f>IF($F$176=5,"-",Фрезеровки!H71)</f>
        <v>Лондон ВОГН</v>
      </c>
      <c r="L69" s="55"/>
      <c r="M69" s="77"/>
      <c r="N69" s="77"/>
      <c r="O69" s="77"/>
      <c r="P69" s="77"/>
      <c r="Q69" s="77"/>
      <c r="R69" s="77"/>
      <c r="S69" s="77"/>
      <c r="T69" s="77"/>
      <c r="U69" s="77"/>
      <c r="V69" s="77"/>
      <c r="W69" s="77"/>
      <c r="X69" s="77"/>
      <c r="AE69" s="65"/>
      <c r="AF69" s="124" t="s">
        <v>228</v>
      </c>
    </row>
    <row r="70" spans="6:32" s="48" customFormat="1" hidden="1" x14ac:dyDescent="0.2">
      <c r="F70" s="48" t="str">
        <f>IF($F$176=5,AF70,Фрезеровки!B72)</f>
        <v>Колонна 1</v>
      </c>
      <c r="J70" s="48" t="str">
        <f>IF($F$176=5,"-",Фрезеровки!H72)</f>
        <v>Лондон ГН</v>
      </c>
      <c r="L70" s="55"/>
      <c r="M70" s="77"/>
      <c r="N70" s="77"/>
      <c r="O70" s="77"/>
      <c r="P70" s="77"/>
      <c r="Q70" s="77"/>
      <c r="R70" s="77"/>
      <c r="S70" s="77"/>
      <c r="T70" s="77"/>
      <c r="U70" s="77"/>
      <c r="V70" s="77"/>
      <c r="W70" s="77"/>
      <c r="X70" s="77"/>
      <c r="AE70" s="65"/>
      <c r="AF70" s="124" t="s">
        <v>228</v>
      </c>
    </row>
    <row r="71" spans="6:32" s="48" customFormat="1" hidden="1" x14ac:dyDescent="0.2">
      <c r="F71" s="48" t="str">
        <f>IF($F$176=5,AF71,Фрезеровки!B73)</f>
        <v>Колонна 2</v>
      </c>
      <c r="J71" s="48" t="str">
        <f>IF($F$176=5,"-",Фрезеровки!H73)</f>
        <v>Луиза S-обр</v>
      </c>
      <c r="L71" s="55"/>
      <c r="M71" s="77"/>
      <c r="N71" s="77"/>
      <c r="O71" s="77"/>
      <c r="P71" s="77"/>
      <c r="Q71" s="77"/>
      <c r="R71" s="77"/>
      <c r="S71" s="77"/>
      <c r="T71" s="77"/>
      <c r="U71" s="77"/>
      <c r="V71" s="77"/>
      <c r="W71" s="77"/>
      <c r="X71" s="77"/>
      <c r="AE71" s="65"/>
      <c r="AF71" s="124" t="s">
        <v>228</v>
      </c>
    </row>
    <row r="72" spans="6:32" s="48" customFormat="1" hidden="1" x14ac:dyDescent="0.2">
      <c r="F72" s="48" t="str">
        <f>IF($F$176=5,AF72,Фрезеровки!B74)</f>
        <v>Колонна верхняя RH</v>
      </c>
      <c r="J72" s="48" t="str">
        <f>IF($F$176=5,"-",Фрезеровки!H74)</f>
        <v>Луиза ВОГН</v>
      </c>
      <c r="L72" s="55"/>
      <c r="M72" s="77"/>
      <c r="N72" s="77"/>
      <c r="O72" s="77"/>
      <c r="P72" s="77"/>
      <c r="Q72" s="77"/>
      <c r="R72" s="77"/>
      <c r="S72" s="77"/>
      <c r="T72" s="77"/>
      <c r="U72" s="77"/>
      <c r="V72" s="77"/>
      <c r="W72" s="77"/>
      <c r="X72" s="77"/>
      <c r="AE72" s="65"/>
      <c r="AF72" s="124" t="s">
        <v>228</v>
      </c>
    </row>
    <row r="73" spans="6:32" s="48" customFormat="1" hidden="1" x14ac:dyDescent="0.2">
      <c r="F73" s="48" t="str">
        <f>IF($F$176=5,AF73,Фрезеровки!B75)</f>
        <v>Колонна нижняя RH</v>
      </c>
      <c r="J73" s="48" t="str">
        <f>IF($F$176=5,"-",Фрезеровки!H75)</f>
        <v>Луиза ГН</v>
      </c>
      <c r="L73" s="55"/>
      <c r="M73" s="77"/>
      <c r="N73" s="77"/>
      <c r="O73" s="77"/>
      <c r="P73" s="77"/>
      <c r="Q73" s="77"/>
      <c r="R73" s="77"/>
      <c r="S73" s="77"/>
      <c r="T73" s="77"/>
      <c r="U73" s="77"/>
      <c r="V73" s="77"/>
      <c r="W73" s="77"/>
      <c r="X73" s="77"/>
      <c r="AE73" s="65"/>
      <c r="AF73" s="124" t="s">
        <v>228</v>
      </c>
    </row>
    <row r="74" spans="6:32" s="48" customFormat="1" hidden="1" x14ac:dyDescent="0.2">
      <c r="F74" s="48" t="str">
        <f>IF($F$176=5,AF74,Фрезеровки!B76)</f>
        <v>Краков</v>
      </c>
      <c r="J74" s="48" t="str">
        <f>IF($F$176=5,"-",Фрезеровки!H76)</f>
        <v>МаЕстро S-обр</v>
      </c>
      <c r="L74" s="55"/>
      <c r="M74" s="77"/>
      <c r="N74" s="77"/>
      <c r="O74" s="77"/>
      <c r="P74" s="77"/>
      <c r="Q74" s="77"/>
      <c r="R74" s="77"/>
      <c r="S74" s="77"/>
      <c r="T74" s="77"/>
      <c r="U74" s="77"/>
      <c r="V74" s="77"/>
      <c r="W74" s="77"/>
      <c r="X74" s="77"/>
      <c r="AE74" s="65"/>
      <c r="AF74" s="124" t="s">
        <v>228</v>
      </c>
    </row>
    <row r="75" spans="6:32" s="48" customFormat="1" hidden="1" x14ac:dyDescent="0.2">
      <c r="F75" s="48" t="str">
        <f>IF($F$176=5,AF75,Фрезеровки!B77)</f>
        <v>Лабиринт</v>
      </c>
      <c r="J75" s="48" t="str">
        <f>IF($F$176=5,"-",Фрезеровки!H77)</f>
        <v>МаЕстро ВОГН</v>
      </c>
      <c r="L75" s="55"/>
      <c r="M75" s="77"/>
      <c r="N75" s="77"/>
      <c r="O75" s="77"/>
      <c r="P75" s="77"/>
      <c r="Q75" s="77"/>
      <c r="R75" s="77"/>
      <c r="S75" s="77"/>
      <c r="T75" s="77"/>
      <c r="U75" s="77"/>
      <c r="V75" s="77"/>
      <c r="W75" s="77"/>
      <c r="X75" s="77"/>
      <c r="AE75" s="65"/>
      <c r="AF75" s="124" t="s">
        <v>228</v>
      </c>
    </row>
    <row r="76" spans="6:32" s="48" customFormat="1" hidden="1" x14ac:dyDescent="0.2">
      <c r="F76" s="48" t="str">
        <f>IF($F$176=5,AF76,Фрезеровки!B78)</f>
        <v>Ланс (без ромбів)</v>
      </c>
      <c r="J76" s="48" t="str">
        <f>IF($F$176=5,"-",Фрезеровки!H78)</f>
        <v>МаЕстро ГН</v>
      </c>
      <c r="L76" s="55"/>
      <c r="M76" s="77"/>
      <c r="N76" s="77"/>
      <c r="O76" s="77"/>
      <c r="P76" s="77"/>
      <c r="Q76" s="77"/>
      <c r="R76" s="77"/>
      <c r="S76" s="77"/>
      <c r="T76" s="77"/>
      <c r="U76" s="77"/>
      <c r="V76" s="77"/>
      <c r="W76" s="77"/>
      <c r="X76" s="77"/>
      <c r="AE76" s="65"/>
      <c r="AF76" s="124" t="s">
        <v>228</v>
      </c>
    </row>
    <row r="77" spans="6:32" s="48" customFormat="1" hidden="1" x14ac:dyDescent="0.2">
      <c r="F77" s="48" t="str">
        <f>IF($F$176=5,AF77,Фрезеровки!B79)</f>
        <v>Ливерпуль</v>
      </c>
      <c r="J77" s="48" t="str">
        <f>IF($F$176=5,"-",Фрезеровки!H79)</f>
        <v>Монако S-обр</v>
      </c>
      <c r="L77" s="55"/>
      <c r="M77" s="77"/>
      <c r="N77" s="77"/>
      <c r="O77" s="77"/>
      <c r="P77" s="77"/>
      <c r="Q77" s="77"/>
      <c r="R77" s="77"/>
      <c r="S77" s="77"/>
      <c r="T77" s="77"/>
      <c r="U77" s="77"/>
      <c r="V77" s="77"/>
      <c r="W77" s="77"/>
      <c r="X77" s="77"/>
      <c r="AE77" s="65"/>
      <c r="AF77" s="124" t="s">
        <v>228</v>
      </c>
    </row>
    <row r="78" spans="6:32" s="48" customFormat="1" hidden="1" x14ac:dyDescent="0.2">
      <c r="F78" s="48" t="str">
        <f>IF($F$176=5,AF78,Фрезеровки!B80)</f>
        <v>Лилия</v>
      </c>
      <c r="J78" s="48" t="str">
        <f>IF($F$176=5,"-",Фрезеровки!H80)</f>
        <v>Монако ВОГН (витрина)</v>
      </c>
      <c r="L78" s="55"/>
      <c r="M78" s="77"/>
      <c r="N78" s="77"/>
      <c r="O78" s="77"/>
      <c r="P78" s="77"/>
      <c r="Q78" s="77"/>
      <c r="R78" s="77"/>
      <c r="S78" s="77"/>
      <c r="T78" s="77"/>
      <c r="U78" s="77"/>
      <c r="V78" s="77"/>
      <c r="W78" s="77"/>
      <c r="X78" s="77"/>
      <c r="AE78" s="65"/>
      <c r="AF78" s="124" t="s">
        <v>228</v>
      </c>
    </row>
    <row r="79" spans="6:32" s="48" customFormat="1" hidden="1" x14ac:dyDescent="0.2">
      <c r="F79" s="48" t="str">
        <f>IF($F$176=5,AF79,Фрезеровки!B81)</f>
        <v>Лондон</v>
      </c>
      <c r="J79" s="48" t="str">
        <f>IF($F$176=5,"-",Фрезеровки!H81)</f>
        <v>Монако ГН</v>
      </c>
      <c r="L79" s="55"/>
      <c r="M79" s="77"/>
      <c r="N79" s="77"/>
      <c r="O79" s="77"/>
      <c r="P79" s="77"/>
      <c r="Q79" s="77"/>
      <c r="R79" s="77"/>
      <c r="S79" s="77"/>
      <c r="T79" s="77"/>
      <c r="U79" s="77"/>
      <c r="V79" s="77"/>
      <c r="W79" s="77"/>
      <c r="X79" s="77"/>
      <c r="AE79" s="65"/>
      <c r="AF79" s="124" t="s">
        <v>228</v>
      </c>
    </row>
    <row r="80" spans="6:32" s="48" customFormat="1" hidden="1" x14ac:dyDescent="0.2">
      <c r="F80" s="48" t="str">
        <f>IF($F$176=5,AF80,Фрезеровки!B82)</f>
        <v>Луиза</v>
      </c>
      <c r="J80" s="48" t="str">
        <f>IF($F$176=5,"-",Фрезеровки!H82)</f>
        <v>Монти ГН</v>
      </c>
      <c r="L80" s="55"/>
      <c r="M80" s="77"/>
      <c r="N80" s="77"/>
      <c r="O80" s="77"/>
      <c r="P80" s="77"/>
      <c r="Q80" s="77"/>
      <c r="R80" s="77"/>
      <c r="S80" s="77"/>
      <c r="T80" s="77"/>
      <c r="U80" s="77"/>
      <c r="V80" s="77"/>
      <c r="W80" s="77"/>
      <c r="X80" s="77"/>
      <c r="AE80" s="65"/>
      <c r="AF80" s="124" t="s">
        <v>228</v>
      </c>
    </row>
    <row r="81" spans="6:32" s="48" customFormat="1" hidden="1" x14ac:dyDescent="0.2">
      <c r="F81" s="48" t="str">
        <f>IF($F$176=5,AF81,Фрезеровки!B83)</f>
        <v>Лилль</v>
      </c>
      <c r="J81" s="48" t="str">
        <f>IF($F$176=5,"-",Фрезеровки!H83)</f>
        <v>Наполи S-обр</v>
      </c>
      <c r="L81" s="55"/>
      <c r="M81" s="77"/>
      <c r="N81" s="77"/>
      <c r="O81" s="77"/>
      <c r="P81" s="77"/>
      <c r="Q81" s="77"/>
      <c r="R81" s="77"/>
      <c r="S81" s="77"/>
      <c r="T81" s="77"/>
      <c r="U81" s="77"/>
      <c r="V81" s="77"/>
      <c r="W81" s="77"/>
      <c r="X81" s="77"/>
      <c r="AE81" s="65"/>
      <c r="AF81" s="124" t="s">
        <v>228</v>
      </c>
    </row>
    <row r="82" spans="6:32" s="48" customFormat="1" hidden="1" x14ac:dyDescent="0.2">
      <c r="F82" s="48" t="str">
        <f>IF($F$176=5,AF82,Фрезеровки!B84)</f>
        <v>Лион</v>
      </c>
      <c r="J82" s="48" t="str">
        <f>IF($F$176=5,"-",Фрезеровки!H84)</f>
        <v>Наполи ВОГН</v>
      </c>
      <c r="L82" s="55"/>
      <c r="M82" s="77"/>
      <c r="N82" s="77"/>
      <c r="O82" s="77"/>
      <c r="P82" s="77"/>
      <c r="Q82" s="77"/>
      <c r="R82" s="77"/>
      <c r="S82" s="77"/>
      <c r="T82" s="77"/>
      <c r="U82" s="77"/>
      <c r="V82" s="77"/>
      <c r="W82" s="77"/>
      <c r="X82" s="77"/>
      <c r="AE82" s="65"/>
      <c r="AF82" s="124" t="s">
        <v>228</v>
      </c>
    </row>
    <row r="83" spans="6:32" s="48" customFormat="1" hidden="1" x14ac:dyDescent="0.2">
      <c r="F83" s="48" t="str">
        <f>IF($F$176=5,AF83,Фрезеровки!B85)</f>
        <v>Марсель</v>
      </c>
      <c r="J83" s="48" t="str">
        <f>IF($F$176=5,"-",Фрезеровки!H85)</f>
        <v>Наполи ГН</v>
      </c>
      <c r="L83" s="55"/>
      <c r="M83" s="77"/>
      <c r="N83" s="77"/>
      <c r="O83" s="77"/>
      <c r="P83" s="77"/>
      <c r="Q83" s="77"/>
      <c r="R83" s="77"/>
      <c r="S83" s="77"/>
      <c r="T83" s="77"/>
      <c r="U83" s="77"/>
      <c r="V83" s="77"/>
      <c r="W83" s="77"/>
      <c r="X83" s="77"/>
      <c r="AE83" s="65"/>
      <c r="AF83" s="124" t="s">
        <v>228</v>
      </c>
    </row>
    <row r="84" spans="6:32" s="48" customFormat="1" hidden="1" x14ac:dyDescent="0.2">
      <c r="F84" s="48" t="str">
        <f>IF($F$176=5,AF84,Фрезеровки!B86)</f>
        <v>МаЕстро</v>
      </c>
      <c r="J84" s="48" t="str">
        <f>IF($F$176=5,"-",Фрезеровки!H86)</f>
        <v>Ніцца ГН</v>
      </c>
      <c r="L84" s="55"/>
      <c r="M84" s="77"/>
      <c r="N84" s="77"/>
      <c r="O84" s="77"/>
      <c r="P84" s="77"/>
      <c r="Q84" s="77"/>
      <c r="R84" s="77"/>
      <c r="S84" s="77"/>
      <c r="T84" s="77"/>
      <c r="U84" s="77"/>
      <c r="V84" s="77"/>
      <c r="W84" s="77"/>
      <c r="X84" s="77"/>
      <c r="AE84" s="65"/>
      <c r="AF84" s="124" t="s">
        <v>228</v>
      </c>
    </row>
    <row r="85" spans="6:32" s="48" customFormat="1" hidden="1" x14ac:dyDescent="0.2">
      <c r="F85" s="48" t="str">
        <f>IF($F$176=5,AF85,Фрезеровки!B87)</f>
        <v>Меликано</v>
      </c>
      <c r="J85" s="48" t="str">
        <f>IF($F$176=5,"-",Фрезеровки!H87)</f>
        <v>Ніцца ВОГН (витрина)</v>
      </c>
      <c r="L85" s="55"/>
      <c r="M85" s="77"/>
      <c r="N85" s="77"/>
      <c r="O85" s="77"/>
      <c r="P85" s="77"/>
      <c r="Q85" s="77"/>
      <c r="R85" s="77"/>
      <c r="S85" s="77"/>
      <c r="T85" s="77"/>
      <c r="U85" s="77"/>
      <c r="V85" s="77"/>
      <c r="W85" s="77"/>
      <c r="X85" s="77"/>
      <c r="AE85" s="65"/>
      <c r="AF85" s="124" t="s">
        <v>228</v>
      </c>
    </row>
    <row r="86" spans="6:32" s="48" customFormat="1" hidden="1" x14ac:dyDescent="0.2">
      <c r="F86" s="48" t="str">
        <f>IF($F$176=5,AF86,Фрезеровки!B88)</f>
        <v>Милан</v>
      </c>
      <c r="J86" s="48" t="str">
        <f>IF($F$176=5,"-",Фрезеровки!H88)</f>
        <v>Ольвия S-обр</v>
      </c>
      <c r="L86" s="55"/>
      <c r="M86" s="77"/>
      <c r="N86" s="77"/>
      <c r="O86" s="77"/>
      <c r="P86" s="77"/>
      <c r="Q86" s="77"/>
      <c r="R86" s="77"/>
      <c r="S86" s="77"/>
      <c r="T86" s="77"/>
      <c r="U86" s="77"/>
      <c r="V86" s="77"/>
      <c r="W86" s="77"/>
      <c r="X86" s="77"/>
      <c r="AE86" s="65"/>
      <c r="AF86" s="124" t="s">
        <v>228</v>
      </c>
    </row>
    <row r="87" spans="6:32" s="48" customFormat="1" hidden="1" x14ac:dyDescent="0.2">
      <c r="F87" s="48" t="str">
        <f>IF($F$176=5,AF87,Фрезеровки!B89)</f>
        <v>Модерн</v>
      </c>
      <c r="J87" s="48" t="str">
        <f>IF($F$176=5,"-",Фрезеровки!H89)</f>
        <v>Ольвія ВОГН</v>
      </c>
      <c r="L87" s="55"/>
      <c r="M87" s="77"/>
      <c r="N87" s="77"/>
      <c r="O87" s="77"/>
      <c r="P87" s="77"/>
      <c r="Q87" s="77"/>
      <c r="R87" s="77"/>
      <c r="S87" s="77"/>
      <c r="T87" s="77"/>
      <c r="U87" s="77"/>
      <c r="V87" s="77"/>
      <c r="W87" s="77"/>
      <c r="X87" s="77"/>
      <c r="AE87" s="65"/>
      <c r="AF87" s="124" t="s">
        <v>228</v>
      </c>
    </row>
    <row r="88" spans="6:32" s="48" customFormat="1" hidden="1" x14ac:dyDescent="0.2">
      <c r="F88" s="48" t="str">
        <f>IF($F$176=5,AF88,Фрезеровки!B90)</f>
        <v>Монако</v>
      </c>
      <c r="J88" s="48" t="str">
        <f>IF($F$176=5,"-",Фрезеровки!H90)</f>
        <v>Ольвія ГН</v>
      </c>
      <c r="L88" s="55"/>
      <c r="M88" s="77"/>
      <c r="N88" s="77"/>
      <c r="O88" s="77"/>
      <c r="P88" s="77"/>
      <c r="Q88" s="77"/>
      <c r="R88" s="77"/>
      <c r="S88" s="77"/>
      <c r="T88" s="77"/>
      <c r="U88" s="77"/>
      <c r="V88" s="77"/>
      <c r="W88" s="77"/>
      <c r="X88" s="77"/>
      <c r="AE88" s="65"/>
      <c r="AF88" s="124" t="s">
        <v>228</v>
      </c>
    </row>
    <row r="89" spans="6:32" s="48" customFormat="1" hidden="1" x14ac:dyDescent="0.2">
      <c r="F89" s="48" t="str">
        <f>IF($F$176=5,AF89,Фрезеровки!B91)</f>
        <v>Монти</v>
      </c>
      <c r="J89" s="48" t="str">
        <f>IF($F$176=5,"-",Фрезеровки!H91)</f>
        <v>Оникс S-обр</v>
      </c>
      <c r="L89" s="55"/>
      <c r="M89" s="77"/>
      <c r="N89" s="77"/>
      <c r="O89" s="77"/>
      <c r="P89" s="77"/>
      <c r="Q89" s="77"/>
      <c r="R89" s="77"/>
      <c r="S89" s="77"/>
      <c r="T89" s="77"/>
      <c r="U89" s="77"/>
      <c r="V89" s="77"/>
      <c r="W89" s="77"/>
      <c r="X89" s="77"/>
      <c r="AE89" s="65"/>
      <c r="AF89" s="124" t="s">
        <v>228</v>
      </c>
    </row>
    <row r="90" spans="6:32" s="48" customFormat="1" hidden="1" x14ac:dyDescent="0.2">
      <c r="F90" s="48" t="str">
        <f>IF($F$176=5,AF90,Фрезеровки!B92)</f>
        <v>Монс</v>
      </c>
      <c r="J90" s="48" t="str">
        <f>IF($F$176=5,"-",Фрезеровки!H92)</f>
        <v>Оникс ВОГН</v>
      </c>
      <c r="L90" s="55"/>
      <c r="M90" s="77"/>
      <c r="N90" s="77"/>
      <c r="O90" s="77"/>
      <c r="P90" s="77"/>
      <c r="Q90" s="77"/>
      <c r="R90" s="77"/>
      <c r="S90" s="77"/>
      <c r="T90" s="77"/>
      <c r="U90" s="77"/>
      <c r="V90" s="77"/>
      <c r="W90" s="77"/>
      <c r="X90" s="77"/>
      <c r="AE90" s="65"/>
      <c r="AF90" s="124" t="s">
        <v>228</v>
      </c>
    </row>
    <row r="91" spans="6:32" s="48" customFormat="1" hidden="1" x14ac:dyDescent="0.2">
      <c r="F91" s="48" t="str">
        <f>IF($F$176=5,AF91,Фрезеровки!B93)</f>
        <v>Мюнхен</v>
      </c>
      <c r="J91" s="48" t="str">
        <f>IF($F$176=5,"-",Фрезеровки!H93)</f>
        <v>Оникс ГН</v>
      </c>
      <c r="L91" s="55"/>
      <c r="M91" s="77"/>
      <c r="N91" s="77"/>
      <c r="O91" s="77"/>
      <c r="P91" s="77"/>
      <c r="Q91" s="77"/>
      <c r="R91" s="77"/>
      <c r="S91" s="77"/>
      <c r="T91" s="77"/>
      <c r="U91" s="77"/>
      <c r="V91" s="77"/>
      <c r="W91" s="77"/>
      <c r="X91" s="77"/>
      <c r="AE91" s="65"/>
      <c r="AF91" s="124" t="s">
        <v>228</v>
      </c>
    </row>
    <row r="92" spans="6:32" s="48" customFormat="1" hidden="1" x14ac:dyDescent="0.2">
      <c r="F92" s="48" t="str">
        <f>IF($F$176=5,AF92,Фрезеровки!B94)</f>
        <v>Нарвик (без декора)</v>
      </c>
      <c r="J92" s="48" t="str">
        <f>IF($F$176=5,"-",Фрезеровки!H94)</f>
        <v>Пезаро ГН</v>
      </c>
      <c r="L92" s="55"/>
      <c r="M92" s="77"/>
      <c r="N92" s="77"/>
      <c r="O92" s="77"/>
      <c r="P92" s="77"/>
      <c r="Q92" s="77"/>
      <c r="R92" s="77"/>
      <c r="S92" s="77"/>
      <c r="T92" s="77"/>
      <c r="U92" s="77"/>
      <c r="V92" s="77"/>
      <c r="W92" s="77"/>
      <c r="X92" s="77"/>
      <c r="AE92" s="65"/>
      <c r="AF92" s="124" t="s">
        <v>228</v>
      </c>
    </row>
    <row r="93" spans="6:32" s="48" customFormat="1" hidden="1" x14ac:dyDescent="0.2">
      <c r="F93" s="48" t="str">
        <f>IF($F$176=5,AF93,Фрезеровки!B95)</f>
        <v>Наполи</v>
      </c>
      <c r="J93" s="48" t="str">
        <f>IF($F$176=5,"-",Фрезеровки!H95)</f>
        <v>Петра S-обр</v>
      </c>
      <c r="L93" s="55"/>
      <c r="M93" s="77"/>
      <c r="N93" s="77"/>
      <c r="O93" s="77"/>
      <c r="P93" s="77"/>
      <c r="Q93" s="77"/>
      <c r="R93" s="77"/>
      <c r="S93" s="77"/>
      <c r="T93" s="77"/>
      <c r="U93" s="77"/>
      <c r="V93" s="77"/>
      <c r="W93" s="77"/>
      <c r="X93" s="77"/>
      <c r="AE93" s="65"/>
      <c r="AF93" s="124" t="s">
        <v>228</v>
      </c>
    </row>
    <row r="94" spans="6:32" s="48" customFormat="1" hidden="1" x14ac:dyDescent="0.2">
      <c r="F94" s="48" t="str">
        <f>IF($F$176=5,AF94,Фрезеровки!B96)</f>
        <v>Ніцца</v>
      </c>
      <c r="J94" s="48" t="str">
        <f>IF($F$176=5,"-",Фрезеровки!H96)</f>
        <v>Петра ГН</v>
      </c>
      <c r="L94" s="55"/>
      <c r="M94" s="77"/>
      <c r="N94" s="77"/>
      <c r="O94" s="77"/>
      <c r="P94" s="77"/>
      <c r="Q94" s="77"/>
      <c r="R94" s="77"/>
      <c r="S94" s="77"/>
      <c r="T94" s="77"/>
      <c r="U94" s="77"/>
      <c r="V94" s="77"/>
      <c r="W94" s="77"/>
      <c r="X94" s="77"/>
      <c r="AE94" s="65"/>
      <c r="AF94" s="124" t="s">
        <v>228</v>
      </c>
    </row>
    <row r="95" spans="6:32" s="48" customFormat="1" hidden="1" x14ac:dyDescent="0.2">
      <c r="F95" s="48" t="str">
        <f>IF($F$176=5,AF95,Фрезеровки!B97)</f>
        <v>Ольвія</v>
      </c>
      <c r="J95" s="48" t="str">
        <f>IF($F$176=5,"-",Фрезеровки!H97)</f>
        <v>Прага 140 S-обр</v>
      </c>
      <c r="L95" s="55"/>
      <c r="M95" s="77"/>
      <c r="N95" s="77"/>
      <c r="O95" s="77"/>
      <c r="P95" s="77"/>
      <c r="Q95" s="77"/>
      <c r="R95" s="77"/>
      <c r="S95" s="77"/>
      <c r="T95" s="77"/>
      <c r="U95" s="77"/>
      <c r="V95" s="77"/>
      <c r="W95" s="77"/>
      <c r="X95" s="77"/>
      <c r="AE95" s="65"/>
      <c r="AF95" s="124" t="s">
        <v>228</v>
      </c>
    </row>
    <row r="96" spans="6:32" s="48" customFormat="1" hidden="1" x14ac:dyDescent="0.2">
      <c r="F96" s="48" t="str">
        <f>IF($F$176=5,AF96,Фрезеровки!B98)</f>
        <v>Оникс</v>
      </c>
      <c r="J96" s="48" t="str">
        <f>IF($F$176=5,"-",Фрезеровки!H98)</f>
        <v>Прага 140 ВОГН</v>
      </c>
      <c r="L96" s="55"/>
      <c r="M96" s="77"/>
      <c r="N96" s="77"/>
      <c r="O96" s="77"/>
      <c r="P96" s="77"/>
      <c r="Q96" s="77"/>
      <c r="R96" s="77"/>
      <c r="S96" s="77"/>
      <c r="T96" s="77"/>
      <c r="U96" s="77"/>
      <c r="V96" s="77"/>
      <c r="W96" s="77"/>
      <c r="X96" s="77"/>
      <c r="AE96" s="65"/>
      <c r="AF96" s="124" t="s">
        <v>228</v>
      </c>
    </row>
    <row r="97" spans="6:32" s="48" customFormat="1" hidden="1" x14ac:dyDescent="0.2">
      <c r="F97" s="48" t="str">
        <f>IF($F$176=5,AF97,Фрезеровки!B99)</f>
        <v>Орлеан</v>
      </c>
      <c r="J97" s="48" t="str">
        <f>IF($F$176=5,"-",Фрезеровки!H99)</f>
        <v>Прага 140 ГН</v>
      </c>
      <c r="L97" s="55"/>
      <c r="M97" s="77"/>
      <c r="N97" s="77"/>
      <c r="O97" s="77"/>
      <c r="P97" s="77"/>
      <c r="Q97" s="77"/>
      <c r="R97" s="77"/>
      <c r="S97" s="77"/>
      <c r="T97" s="77"/>
      <c r="U97" s="77"/>
      <c r="V97" s="77"/>
      <c r="W97" s="77"/>
      <c r="X97" s="77"/>
      <c r="AE97" s="65"/>
      <c r="AF97" s="124" t="s">
        <v>228</v>
      </c>
    </row>
    <row r="98" spans="6:32" s="48" customFormat="1" hidden="1" x14ac:dyDescent="0.2">
      <c r="F98" s="48" t="str">
        <f>IF($F$176=5,AF98,Фрезеровки!B100)</f>
        <v>Орлеан (без рисунка)</v>
      </c>
      <c r="J98" s="48" t="str">
        <f>IF($F$176=5,"-",Фрезеровки!H100)</f>
        <v>Прага 70 S-обр</v>
      </c>
      <c r="L98" s="55"/>
      <c r="M98" s="77"/>
      <c r="N98" s="77"/>
      <c r="O98" s="77"/>
      <c r="P98" s="77"/>
      <c r="Q98" s="77"/>
      <c r="R98" s="77"/>
      <c r="S98" s="77"/>
      <c r="T98" s="77"/>
      <c r="U98" s="77"/>
      <c r="V98" s="77"/>
      <c r="W98" s="77"/>
      <c r="X98" s="77"/>
      <c r="AE98" s="65"/>
      <c r="AF98" s="124" t="s">
        <v>228</v>
      </c>
    </row>
    <row r="99" spans="6:32" s="48" customFormat="1" hidden="1" x14ac:dyDescent="0.2">
      <c r="F99" s="48" t="str">
        <f>IF($F$176=5,AF99,Фрезеровки!B101)</f>
        <v>Павия +Р</v>
      </c>
      <c r="J99" s="48" t="str">
        <f>IF($F$176=5,"-",Фрезеровки!H101)</f>
        <v>Прага 70 ВОГН</v>
      </c>
      <c r="L99" s="55"/>
      <c r="M99" s="77"/>
      <c r="N99" s="77"/>
      <c r="O99" s="77"/>
      <c r="P99" s="77"/>
      <c r="Q99" s="77"/>
      <c r="R99" s="77"/>
      <c r="S99" s="77"/>
      <c r="T99" s="77"/>
      <c r="U99" s="77"/>
      <c r="V99" s="77"/>
      <c r="W99" s="77"/>
      <c r="X99" s="77"/>
      <c r="AE99" s="65"/>
      <c r="AF99" s="124" t="s">
        <v>228</v>
      </c>
    </row>
    <row r="100" spans="6:32" s="48" customFormat="1" hidden="1" x14ac:dyDescent="0.2">
      <c r="F100" s="48" t="str">
        <f>IF($F$176=5,AF100,Фрезеровки!B102)</f>
        <v>Пезаро</v>
      </c>
      <c r="J100" s="48" t="str">
        <f>IF($F$176=5,"-",Фрезеровки!H102)</f>
        <v>Прага 70 ГН</v>
      </c>
      <c r="L100" s="55"/>
      <c r="M100" s="77"/>
      <c r="N100" s="77"/>
      <c r="O100" s="77"/>
      <c r="P100" s="77"/>
      <c r="Q100" s="77"/>
      <c r="R100" s="77"/>
      <c r="S100" s="77"/>
      <c r="T100" s="77"/>
      <c r="U100" s="77"/>
      <c r="V100" s="77"/>
      <c r="W100" s="77"/>
      <c r="X100" s="77"/>
      <c r="AE100" s="65"/>
      <c r="AF100" s="124" t="s">
        <v>228</v>
      </c>
    </row>
    <row r="101" spans="6:32" s="48" customFormat="1" hidden="1" x14ac:dyDescent="0.2">
      <c r="F101" s="48" t="str">
        <f>IF($F$176=5,AF101,Фрезеровки!B103)</f>
        <v>Пескара</v>
      </c>
      <c r="J101" s="48" t="str">
        <f>IF($F$176=5,"-",Фрезеровки!H103)</f>
        <v>Прямой S-обр</v>
      </c>
      <c r="L101" s="55"/>
      <c r="M101" s="77"/>
      <c r="N101" s="77"/>
      <c r="O101" s="77"/>
      <c r="P101" s="77"/>
      <c r="Q101" s="77"/>
      <c r="R101" s="77"/>
      <c r="S101" s="77"/>
      <c r="T101" s="77"/>
      <c r="U101" s="77"/>
      <c r="V101" s="77"/>
      <c r="W101" s="77"/>
      <c r="X101" s="77"/>
      <c r="AE101" s="65"/>
      <c r="AF101" s="124" t="s">
        <v>228</v>
      </c>
    </row>
    <row r="102" spans="6:32" s="48" customFormat="1" hidden="1" x14ac:dyDescent="0.2">
      <c r="F102" s="48" t="str">
        <f>IF($F$176=5,AF102,Фрезеровки!B104)</f>
        <v>Петра</v>
      </c>
      <c r="J102" s="48" t="str">
        <f>IF($F$176=5,"-",Фрезеровки!H104)</f>
        <v>Прямой ВОГН</v>
      </c>
      <c r="L102" s="55"/>
      <c r="M102" s="77"/>
      <c r="N102" s="77"/>
      <c r="O102" s="77"/>
      <c r="P102" s="77"/>
      <c r="Q102" s="77"/>
      <c r="R102" s="77"/>
      <c r="S102" s="77"/>
      <c r="T102" s="77"/>
      <c r="U102" s="77"/>
      <c r="V102" s="77"/>
      <c r="W102" s="77"/>
      <c r="X102" s="77"/>
      <c r="AE102" s="65"/>
      <c r="AF102" s="124" t="s">
        <v>228</v>
      </c>
    </row>
    <row r="103" spans="6:32" s="48" customFormat="1" hidden="1" x14ac:dyDescent="0.2">
      <c r="F103" s="48" t="str">
        <f>IF($F$176=5,AF103,Фрезеровки!B105)</f>
        <v>Прага 140</v>
      </c>
      <c r="J103" s="48" t="str">
        <f>IF($F$176=5,"-",Фрезеровки!H105)</f>
        <v>Прямой ГН</v>
      </c>
      <c r="L103" s="55"/>
      <c r="M103" s="77"/>
      <c r="N103" s="77"/>
      <c r="O103" s="77"/>
      <c r="P103" s="77"/>
      <c r="Q103" s="77"/>
      <c r="R103" s="77"/>
      <c r="S103" s="77"/>
      <c r="T103" s="77"/>
      <c r="U103" s="77"/>
      <c r="V103" s="77"/>
      <c r="W103" s="77"/>
      <c r="X103" s="77"/>
      <c r="AE103" s="65"/>
      <c r="AF103" s="124" t="s">
        <v>228</v>
      </c>
    </row>
    <row r="104" spans="6:32" s="48" customFormat="1" hidden="1" x14ac:dyDescent="0.2">
      <c r="F104" s="48" t="str">
        <f>IF($F$176=5,AF104,Фрезеровки!B106)</f>
        <v>Прага 70</v>
      </c>
      <c r="J104" s="48" t="str">
        <f>IF($F$176=5,"-",Фрезеровки!H106)</f>
        <v>Равенна ГН</v>
      </c>
      <c r="L104" s="55"/>
      <c r="M104" s="77"/>
      <c r="N104" s="77"/>
      <c r="O104" s="77"/>
      <c r="P104" s="77"/>
      <c r="Q104" s="77"/>
      <c r="R104" s="77"/>
      <c r="S104" s="77"/>
      <c r="T104" s="77"/>
      <c r="U104" s="77"/>
      <c r="V104" s="77"/>
      <c r="W104" s="77"/>
      <c r="X104" s="77"/>
      <c r="AE104" s="65"/>
      <c r="AF104" s="124" t="s">
        <v>228</v>
      </c>
    </row>
    <row r="105" spans="6:32" s="48" customFormat="1" hidden="1" x14ac:dyDescent="0.2">
      <c r="F105" s="48" t="str">
        <f>IF($F$176=5,AF105,Фрезеровки!B107)</f>
        <v>Прямой</v>
      </c>
      <c r="J105" s="48" t="str">
        <f>IF($F$176=5,"-",Фрезеровки!H107)</f>
        <v>Решетка S-обр</v>
      </c>
      <c r="L105" s="55"/>
      <c r="M105" s="77"/>
      <c r="N105" s="77"/>
      <c r="O105" s="77"/>
      <c r="P105" s="77"/>
      <c r="Q105" s="77"/>
      <c r="R105" s="77"/>
      <c r="S105" s="77"/>
      <c r="T105" s="77"/>
      <c r="U105" s="77"/>
      <c r="V105" s="77"/>
      <c r="W105" s="77"/>
      <c r="X105" s="77"/>
      <c r="AE105" s="65"/>
      <c r="AF105" s="124" t="s">
        <v>228</v>
      </c>
    </row>
    <row r="106" spans="6:32" s="48" customFormat="1" hidden="1" x14ac:dyDescent="0.2">
      <c r="F106" s="48" t="str">
        <f>IF($F$176=5,AF106,Фрезеровки!B108)</f>
        <v>Равенна</v>
      </c>
      <c r="J106" s="48" t="str">
        <f>IF($F$176=5,"-",Фрезеровки!H108)</f>
        <v>Решетка ВОГН</v>
      </c>
      <c r="L106" s="55"/>
      <c r="M106" s="77"/>
      <c r="N106" s="77"/>
      <c r="O106" s="77"/>
      <c r="P106" s="77"/>
      <c r="Q106" s="77"/>
      <c r="R106" s="77"/>
      <c r="S106" s="77"/>
      <c r="T106" s="77"/>
      <c r="U106" s="77"/>
      <c r="V106" s="77"/>
      <c r="W106" s="77"/>
      <c r="X106" s="77"/>
      <c r="AE106" s="65"/>
      <c r="AF106" s="124" t="s">
        <v>228</v>
      </c>
    </row>
    <row r="107" spans="6:32" s="48" customFormat="1" hidden="1" x14ac:dyDescent="0.2">
      <c r="F107" s="48" t="str">
        <f>IF($F$176=5,AF107,Фрезеровки!B109)</f>
        <v>Решетка</v>
      </c>
      <c r="J107" s="48" t="str">
        <f>IF($F$176=5,"-",Фрезеровки!H109)</f>
        <v>Решетка ГН</v>
      </c>
      <c r="L107" s="55"/>
      <c r="M107" s="77"/>
      <c r="N107" s="77"/>
      <c r="O107" s="77"/>
      <c r="P107" s="77"/>
      <c r="Q107" s="77"/>
      <c r="R107" s="77"/>
      <c r="S107" s="77"/>
      <c r="T107" s="77"/>
      <c r="U107" s="77"/>
      <c r="V107" s="77"/>
      <c r="W107" s="77"/>
      <c r="X107" s="77"/>
      <c r="AE107" s="65"/>
      <c r="AF107" s="124" t="s">
        <v>228</v>
      </c>
    </row>
    <row r="108" spans="6:32" s="48" customFormat="1" hidden="1" x14ac:dyDescent="0.2">
      <c r="F108" s="48" t="str">
        <f>IF($F$176=5,AF108,Фрезеровки!B110)</f>
        <v>Румба</v>
      </c>
      <c r="J108" s="48" t="str">
        <f>IF($F$176=5,"-",Фрезеровки!H110)</f>
        <v>Римини ГН</v>
      </c>
      <c r="L108" s="55"/>
      <c r="M108" s="77"/>
      <c r="N108" s="77"/>
      <c r="O108" s="77"/>
      <c r="P108" s="77"/>
      <c r="Q108" s="77"/>
      <c r="R108" s="77"/>
      <c r="S108" s="77"/>
      <c r="T108" s="77"/>
      <c r="U108" s="77"/>
      <c r="V108" s="77"/>
      <c r="W108" s="77"/>
      <c r="X108" s="77"/>
      <c r="AE108" s="65"/>
      <c r="AF108" s="124" t="s">
        <v>228</v>
      </c>
    </row>
    <row r="109" spans="6:32" s="48" customFormat="1" hidden="1" x14ac:dyDescent="0.2">
      <c r="F109" s="48" t="str">
        <f>IF($F$176=5,AF109,Фрезеровки!B111)</f>
        <v>Риан</v>
      </c>
      <c r="J109" s="48" t="str">
        <f>IF($F$176=5,"-",Фрезеровки!H111)</f>
        <v>Румба ВОГН</v>
      </c>
      <c r="L109" s="55"/>
      <c r="M109" s="77"/>
      <c r="N109" s="77"/>
      <c r="O109" s="77"/>
      <c r="P109" s="77"/>
      <c r="Q109" s="77"/>
      <c r="R109" s="77"/>
      <c r="S109" s="77"/>
      <c r="T109" s="77"/>
      <c r="U109" s="77"/>
      <c r="V109" s="77"/>
      <c r="W109" s="77"/>
      <c r="X109" s="77"/>
      <c r="AE109" s="65"/>
      <c r="AF109" s="124" t="s">
        <v>228</v>
      </c>
    </row>
    <row r="110" spans="6:32" s="48" customFormat="1" hidden="1" x14ac:dyDescent="0.2">
      <c r="F110" s="48" t="str">
        <f>IF($F$176=5,AF110,Фрезеровки!B112)</f>
        <v>Риволи</v>
      </c>
      <c r="J110" s="48" t="str">
        <f>IF($F$176=5,"-",Фрезеровки!H112)</f>
        <v>Румба ГН</v>
      </c>
      <c r="L110" s="55"/>
      <c r="M110" s="77"/>
      <c r="N110" s="77"/>
      <c r="O110" s="77"/>
      <c r="P110" s="77"/>
      <c r="Q110" s="77"/>
      <c r="R110" s="77"/>
      <c r="S110" s="77"/>
      <c r="T110" s="77"/>
      <c r="U110" s="77"/>
      <c r="V110" s="77"/>
      <c r="W110" s="77"/>
      <c r="X110" s="77"/>
      <c r="AE110" s="65"/>
      <c r="AF110" s="124" t="s">
        <v>228</v>
      </c>
    </row>
    <row r="111" spans="6:32" s="48" customFormat="1" hidden="1" x14ac:dyDescent="0.2">
      <c r="F111" s="48" t="str">
        <f>IF($F$176=5,AF111,Фрезеровки!B113)</f>
        <v>Римини</v>
      </c>
      <c r="J111" s="48" t="str">
        <f>IF($F$176=5,"-",Фрезеровки!H113)</f>
        <v>Санторини S-обр (лівий)</v>
      </c>
      <c r="L111" s="55"/>
      <c r="M111" s="77"/>
      <c r="N111" s="77"/>
      <c r="O111" s="77"/>
      <c r="P111" s="77"/>
      <c r="Q111" s="77"/>
      <c r="R111" s="77"/>
      <c r="S111" s="77"/>
      <c r="T111" s="77"/>
      <c r="U111" s="77"/>
      <c r="V111" s="77"/>
      <c r="W111" s="77"/>
      <c r="X111" s="77"/>
      <c r="AE111" s="65"/>
      <c r="AF111" s="124" t="s">
        <v>228</v>
      </c>
    </row>
    <row r="112" spans="6:32" s="48" customFormat="1" hidden="1" x14ac:dyDescent="0.2">
      <c r="F112" s="48" t="str">
        <f>IF($F$176=5,AF112,Фрезеровки!B114)</f>
        <v>Савона</v>
      </c>
      <c r="J112" s="48" t="str">
        <f>IF($F$176=5,"-",Фрезеровки!H114)</f>
        <v>Санторини S-обр (правий)</v>
      </c>
      <c r="L112" s="55"/>
      <c r="M112" s="77"/>
      <c r="N112" s="77"/>
      <c r="O112" s="77"/>
      <c r="P112" s="77"/>
      <c r="Q112" s="77"/>
      <c r="R112" s="77"/>
      <c r="S112" s="77"/>
      <c r="T112" s="77"/>
      <c r="U112" s="77"/>
      <c r="V112" s="77"/>
      <c r="W112" s="77"/>
      <c r="X112" s="77"/>
      <c r="AE112" s="65"/>
      <c r="AF112" s="124" t="s">
        <v>228</v>
      </c>
    </row>
    <row r="113" spans="6:32" s="48" customFormat="1" hidden="1" x14ac:dyDescent="0.2">
      <c r="F113" s="48" t="str">
        <f>IF($F$176=5,AF113,Фрезеровки!B115)</f>
        <v>Санторини (лівий)</v>
      </c>
      <c r="J113" s="48" t="str">
        <f>IF($F$176=5,"-",Фрезеровки!H115)</f>
        <v>Санторини ВОГН (лівий)</v>
      </c>
      <c r="L113" s="55"/>
      <c r="M113" s="77"/>
      <c r="N113" s="77"/>
      <c r="O113" s="77"/>
      <c r="P113" s="77"/>
      <c r="Q113" s="77"/>
      <c r="R113" s="77"/>
      <c r="S113" s="77"/>
      <c r="T113" s="77"/>
      <c r="U113" s="77"/>
      <c r="V113" s="77"/>
      <c r="W113" s="77"/>
      <c r="X113" s="77"/>
      <c r="AE113" s="65"/>
      <c r="AF113" s="124" t="s">
        <v>228</v>
      </c>
    </row>
    <row r="114" spans="6:32" s="48" customFormat="1" hidden="1" x14ac:dyDescent="0.2">
      <c r="F114" s="48" t="str">
        <f>IF($F$176=5,AF114,Фрезеровки!B116)</f>
        <v>Санторини (правий)</v>
      </c>
      <c r="J114" s="48" t="str">
        <f>IF($F$176=5,"-",Фрезеровки!H116)</f>
        <v>Санторини ВОГН (правий)</v>
      </c>
      <c r="L114" s="55"/>
      <c r="M114" s="77"/>
      <c r="N114" s="77"/>
      <c r="O114" s="77"/>
      <c r="P114" s="77"/>
      <c r="Q114" s="77"/>
      <c r="R114" s="77"/>
      <c r="S114" s="77"/>
      <c r="T114" s="77"/>
      <c r="U114" s="77"/>
      <c r="V114" s="77"/>
      <c r="W114" s="77"/>
      <c r="X114" s="77"/>
      <c r="AE114" s="65"/>
      <c r="AF114" s="124" t="s">
        <v>228</v>
      </c>
    </row>
    <row r="115" spans="6:32" s="48" customFormat="1" hidden="1" x14ac:dyDescent="0.2">
      <c r="F115" s="48" t="str">
        <f>IF($F$176=5,AF115,Фрезеровки!B117)</f>
        <v>София</v>
      </c>
      <c r="J115" s="48" t="str">
        <f>IF($F$176=5,"-",Фрезеровки!H117)</f>
        <v>Санторини ГН (лівий)</v>
      </c>
      <c r="L115" s="55"/>
      <c r="M115" s="77"/>
      <c r="N115" s="77"/>
      <c r="O115" s="77"/>
      <c r="P115" s="77"/>
      <c r="Q115" s="77"/>
      <c r="R115" s="77"/>
      <c r="S115" s="77"/>
      <c r="T115" s="77"/>
      <c r="U115" s="77"/>
      <c r="V115" s="77"/>
      <c r="W115" s="77"/>
      <c r="X115" s="77"/>
      <c r="AE115" s="65"/>
      <c r="AF115" s="124" t="s">
        <v>228</v>
      </c>
    </row>
    <row r="116" spans="6:32" s="48" customFormat="1" hidden="1" x14ac:dyDescent="0.2">
      <c r="F116" s="48" t="str">
        <f>IF($F$176=5,AF116,Фрезеровки!B118)</f>
        <v>Стен.панель Кайзер</v>
      </c>
      <c r="J116" s="48" t="str">
        <f>IF($F$176=5,"-",Фрезеровки!H118)</f>
        <v>Санторини ГН (правий)</v>
      </c>
      <c r="L116" s="55"/>
      <c r="M116" s="77"/>
      <c r="N116" s="77"/>
      <c r="O116" s="77"/>
      <c r="P116" s="77"/>
      <c r="Q116" s="77"/>
      <c r="R116" s="77"/>
      <c r="S116" s="77"/>
      <c r="T116" s="77"/>
      <c r="U116" s="77"/>
      <c r="V116" s="77"/>
      <c r="W116" s="77"/>
      <c r="X116" s="77"/>
      <c r="AE116" s="65"/>
      <c r="AF116" s="124" t="s">
        <v>228</v>
      </c>
    </row>
    <row r="117" spans="6:32" s="48" customFormat="1" hidden="1" x14ac:dyDescent="0.2">
      <c r="F117" s="48" t="str">
        <f>IF($F$176=5,AF117,Фрезеровки!B119)</f>
        <v>Стен.панель Левадия</v>
      </c>
      <c r="J117" s="48" t="str">
        <f>IF($F$176=5,"-",Фрезеровки!H119)</f>
        <v>София S-обр</v>
      </c>
      <c r="L117" s="55"/>
      <c r="M117" s="77"/>
      <c r="N117" s="77"/>
      <c r="O117" s="77"/>
      <c r="P117" s="77"/>
      <c r="Q117" s="77"/>
      <c r="R117" s="77"/>
      <c r="S117" s="77"/>
      <c r="T117" s="77"/>
      <c r="U117" s="77"/>
      <c r="V117" s="77"/>
      <c r="W117" s="77"/>
      <c r="X117" s="77"/>
      <c r="AE117" s="65"/>
      <c r="AF117" s="124" t="s">
        <v>228</v>
      </c>
    </row>
    <row r="118" spans="6:32" s="48" customFormat="1" hidden="1" x14ac:dyDescent="0.2">
      <c r="F118" s="48" t="str">
        <f>IF($F$176=5,AF118,Фрезеровки!B120)</f>
        <v>Стен.панель Ельба</v>
      </c>
      <c r="J118" s="48" t="str">
        <f>IF($F$176=5,"-",Фрезеровки!H120)</f>
        <v>София ВОГН</v>
      </c>
      <c r="L118" s="55"/>
      <c r="M118" s="77"/>
      <c r="N118" s="77"/>
      <c r="O118" s="77"/>
      <c r="P118" s="77"/>
      <c r="Q118" s="77"/>
      <c r="R118" s="77"/>
      <c r="S118" s="77"/>
      <c r="T118" s="77"/>
      <c r="U118" s="77"/>
      <c r="V118" s="77"/>
      <c r="W118" s="77"/>
      <c r="X118" s="77"/>
      <c r="AE118" s="65"/>
      <c r="AF118" s="124" t="s">
        <v>228</v>
      </c>
    </row>
    <row r="119" spans="6:32" s="48" customFormat="1" hidden="1" x14ac:dyDescent="0.2">
      <c r="F119" s="48" t="str">
        <f>IF($F$176=5,AF119,Фрезеровки!B121)</f>
        <v>Сидней 45</v>
      </c>
      <c r="J119" s="48" t="str">
        <f>IF($F$176=5,"-",Фрезеровки!H121)</f>
        <v>София ГН</v>
      </c>
      <c r="L119" s="55"/>
      <c r="M119" s="77"/>
      <c r="N119" s="77"/>
      <c r="O119" s="77"/>
      <c r="P119" s="77"/>
      <c r="Q119" s="77"/>
      <c r="R119" s="77"/>
      <c r="S119" s="77"/>
      <c r="T119" s="77"/>
      <c r="U119" s="77"/>
      <c r="V119" s="77"/>
      <c r="W119" s="77"/>
      <c r="X119" s="77"/>
      <c r="AE119" s="65"/>
      <c r="AF119" s="124" t="s">
        <v>228</v>
      </c>
    </row>
    <row r="120" spans="6:32" s="48" customFormat="1" hidden="1" x14ac:dyDescent="0.2">
      <c r="F120" s="48" t="str">
        <f>IF($F$176=5,AF120,Фрезеровки!B122)</f>
        <v>Сидней 90</v>
      </c>
      <c r="J120" s="48" t="str">
        <f>IF($F$176=5,"-",Фрезеровки!H122)</f>
        <v>Тенея S-обр</v>
      </c>
      <c r="L120" s="55"/>
      <c r="M120" s="77"/>
      <c r="N120" s="77"/>
      <c r="O120" s="77"/>
      <c r="P120" s="77"/>
      <c r="Q120" s="77"/>
      <c r="R120" s="77"/>
      <c r="S120" s="77"/>
      <c r="T120" s="77"/>
      <c r="U120" s="77"/>
      <c r="V120" s="77"/>
      <c r="W120" s="77"/>
      <c r="X120" s="77"/>
      <c r="AE120" s="65"/>
      <c r="AF120" s="124" t="s">
        <v>228</v>
      </c>
    </row>
    <row r="121" spans="6:32" s="48" customFormat="1" hidden="1" x14ac:dyDescent="0.2">
      <c r="F121" s="48" t="str">
        <f>IF($F$176=5,AF121,Фрезеровки!B123)</f>
        <v>Тандем</v>
      </c>
      <c r="J121" s="48" t="str">
        <f>IF($F$176=5,"-",Фрезеровки!H123)</f>
        <v>Тенея ВОГН (витрина)</v>
      </c>
      <c r="L121" s="55"/>
      <c r="M121" s="77"/>
      <c r="N121" s="77"/>
      <c r="O121" s="77"/>
      <c r="P121" s="77"/>
      <c r="Q121" s="77"/>
      <c r="R121" s="77"/>
      <c r="S121" s="77"/>
      <c r="T121" s="77"/>
      <c r="U121" s="77"/>
      <c r="V121" s="77"/>
      <c r="W121" s="77"/>
      <c r="X121" s="77"/>
      <c r="AE121" s="65"/>
      <c r="AF121" s="124" t="s">
        <v>228</v>
      </c>
    </row>
    <row r="122" spans="6:32" s="48" customFormat="1" hidden="1" x14ac:dyDescent="0.2">
      <c r="F122" s="48" t="str">
        <f>IF($F$176=5,AF122,Фрезеровки!B124)</f>
        <v>Тартона +Р</v>
      </c>
      <c r="J122" s="48" t="str">
        <f>IF($F$176=5,"-",Фрезеровки!H124)</f>
        <v>Тенея ГН</v>
      </c>
      <c r="L122" s="55"/>
      <c r="M122" s="77"/>
      <c r="N122" s="77"/>
      <c r="O122" s="77"/>
      <c r="P122" s="77"/>
      <c r="Q122" s="77"/>
      <c r="R122" s="77"/>
      <c r="S122" s="77"/>
      <c r="T122" s="77"/>
      <c r="U122" s="77"/>
      <c r="V122" s="77"/>
      <c r="W122" s="77"/>
      <c r="X122" s="77"/>
      <c r="AE122" s="65"/>
      <c r="AF122" s="124" t="s">
        <v>228</v>
      </c>
    </row>
    <row r="123" spans="6:32" s="48" customFormat="1" hidden="1" x14ac:dyDescent="0.2">
      <c r="F123" s="48" t="str">
        <f>IF($F$176=5,AF123,Фрезеровки!B125)</f>
        <v>Тель-Авив</v>
      </c>
      <c r="J123" s="48" t="str">
        <f>IF($F$176=5,"-",Фрезеровки!H125)</f>
        <v>Техно S-обр</v>
      </c>
      <c r="L123" s="55"/>
      <c r="M123" s="77"/>
      <c r="N123" s="77"/>
      <c r="O123" s="77"/>
      <c r="P123" s="77"/>
      <c r="Q123" s="77"/>
      <c r="R123" s="77"/>
      <c r="S123" s="77"/>
      <c r="T123" s="77"/>
      <c r="U123" s="77"/>
      <c r="V123" s="77"/>
      <c r="W123" s="77"/>
      <c r="X123" s="77"/>
      <c r="AE123" s="65"/>
      <c r="AF123" s="124" t="s">
        <v>228</v>
      </c>
    </row>
    <row r="124" spans="6:32" s="48" customFormat="1" hidden="1" x14ac:dyDescent="0.2">
      <c r="F124" s="48" t="str">
        <f>IF($F$176=5,AF124,Фрезеровки!B126)</f>
        <v>Тенея</v>
      </c>
      <c r="J124" s="48" t="str">
        <f>IF($F$176=5,"-",Фрезеровки!H126)</f>
        <v>Техно ВОГН</v>
      </c>
      <c r="L124" s="55"/>
      <c r="M124" s="77"/>
      <c r="N124" s="77"/>
      <c r="O124" s="77"/>
      <c r="P124" s="77"/>
      <c r="Q124" s="77"/>
      <c r="R124" s="77"/>
      <c r="S124" s="77"/>
      <c r="T124" s="77"/>
      <c r="U124" s="77"/>
      <c r="V124" s="77"/>
      <c r="W124" s="77"/>
      <c r="X124" s="77"/>
      <c r="AE124" s="65"/>
      <c r="AF124" s="124" t="s">
        <v>228</v>
      </c>
    </row>
    <row r="125" spans="6:32" s="48" customFormat="1" hidden="1" x14ac:dyDescent="0.2">
      <c r="F125" s="48" t="str">
        <f>IF($F$176=5,AF125,Фрезеровки!B127)</f>
        <v>Тренто</v>
      </c>
      <c r="J125" s="48" t="str">
        <f>IF($F$176=5,"-",Фрезеровки!H127)</f>
        <v>Техно ГН</v>
      </c>
      <c r="L125" s="55"/>
      <c r="M125" s="77"/>
      <c r="N125" s="77"/>
      <c r="O125" s="77"/>
      <c r="P125" s="77"/>
      <c r="Q125" s="77"/>
      <c r="R125" s="77"/>
      <c r="S125" s="77"/>
      <c r="T125" s="77"/>
      <c r="U125" s="77"/>
      <c r="V125" s="77"/>
      <c r="W125" s="77"/>
      <c r="X125" s="77"/>
      <c r="AE125" s="65"/>
      <c r="AF125" s="124" t="s">
        <v>228</v>
      </c>
    </row>
    <row r="126" spans="6:32" s="48" customFormat="1" hidden="1" x14ac:dyDescent="0.2">
      <c r="F126" s="48" t="str">
        <f>IF($F$176=5,AF126,Фрезеровки!B128)</f>
        <v>Техно</v>
      </c>
      <c r="J126" s="48" t="str">
        <f>IF($F$176=5,"-",Фрезеровки!H128)</f>
        <v>Троя ВОГН (лівий)</v>
      </c>
      <c r="L126" s="55"/>
      <c r="M126" s="77"/>
      <c r="N126" s="77"/>
      <c r="O126" s="77"/>
      <c r="P126" s="77"/>
      <c r="Q126" s="77"/>
      <c r="R126" s="77"/>
      <c r="S126" s="77"/>
      <c r="T126" s="77"/>
      <c r="U126" s="77"/>
      <c r="V126" s="77"/>
      <c r="W126" s="77"/>
      <c r="X126" s="77"/>
      <c r="AE126" s="65"/>
      <c r="AF126" s="124" t="s">
        <v>228</v>
      </c>
    </row>
    <row r="127" spans="6:32" s="48" customFormat="1" hidden="1" x14ac:dyDescent="0.2">
      <c r="F127" s="48" t="str">
        <f>IF($F$176=5,AF127,Фрезеровки!B129)</f>
        <v>Тулон</v>
      </c>
      <c r="J127" s="48" t="str">
        <f>IF($F$176=5,"-",Фрезеровки!H129)</f>
        <v>Троя ВОГН (правий)</v>
      </c>
      <c r="L127" s="55"/>
      <c r="M127" s="77"/>
      <c r="N127" s="77"/>
      <c r="O127" s="77"/>
      <c r="P127" s="77"/>
      <c r="Q127" s="77"/>
      <c r="R127" s="77"/>
      <c r="S127" s="77"/>
      <c r="T127" s="77"/>
      <c r="U127" s="77"/>
      <c r="V127" s="77"/>
      <c r="W127" s="77"/>
      <c r="X127" s="77"/>
      <c r="AE127" s="65"/>
      <c r="AF127" s="124" t="s">
        <v>228</v>
      </c>
    </row>
    <row r="128" spans="6:32" s="48" customFormat="1" hidden="1" x14ac:dyDescent="0.2">
      <c r="F128" s="48" t="str">
        <f>IF($F$176=5,AF128,Фрезеровки!B130)</f>
        <v>Тулуза</v>
      </c>
      <c r="J128" s="48" t="str">
        <f>IF($F$176=5,"-",Фрезеровки!H130)</f>
        <v>Троя ГН (лівий)</v>
      </c>
      <c r="L128" s="55"/>
      <c r="M128" s="77"/>
      <c r="N128" s="77"/>
      <c r="O128" s="77"/>
      <c r="P128" s="77"/>
      <c r="Q128" s="77"/>
      <c r="R128" s="77"/>
      <c r="S128" s="77"/>
      <c r="T128" s="77"/>
      <c r="U128" s="77"/>
      <c r="V128" s="77"/>
      <c r="W128" s="77"/>
      <c r="X128" s="77"/>
      <c r="AE128" s="65"/>
      <c r="AF128" s="124" t="s">
        <v>228</v>
      </c>
    </row>
    <row r="129" spans="6:32" s="48" customFormat="1" hidden="1" x14ac:dyDescent="0.2">
      <c r="F129" s="48" t="str">
        <f>IF($F$176=5,AF129,Фрезеровки!B131)</f>
        <v>Троя (лівий)</v>
      </c>
      <c r="J129" s="48" t="str">
        <f>IF($F$176=5,"-",Фрезеровки!H131)</f>
        <v>Троя ГН (правий)</v>
      </c>
      <c r="L129" s="55"/>
      <c r="M129" s="77"/>
      <c r="N129" s="77"/>
      <c r="O129" s="77"/>
      <c r="P129" s="77"/>
      <c r="Q129" s="77"/>
      <c r="R129" s="77"/>
      <c r="S129" s="77"/>
      <c r="T129" s="77"/>
      <c r="U129" s="77"/>
      <c r="V129" s="77"/>
      <c r="W129" s="77"/>
      <c r="X129" s="77"/>
      <c r="AE129" s="65"/>
      <c r="AF129" s="124" t="s">
        <v>228</v>
      </c>
    </row>
    <row r="130" spans="6:32" s="48" customFormat="1" hidden="1" x14ac:dyDescent="0.2">
      <c r="F130" s="48" t="str">
        <f>IF($F$176=5,AF130,Фрезеровки!B132)</f>
        <v>Троя (правий)</v>
      </c>
      <c r="J130" s="48" t="str">
        <f>IF($F$176=5,"-",Фрезеровки!H132)</f>
        <v>Тулон S-обр</v>
      </c>
      <c r="L130" s="55"/>
      <c r="M130" s="77"/>
      <c r="N130" s="77"/>
      <c r="O130" s="77"/>
      <c r="P130" s="77"/>
      <c r="Q130" s="77"/>
      <c r="R130" s="77"/>
      <c r="S130" s="77"/>
      <c r="T130" s="77"/>
      <c r="U130" s="77"/>
      <c r="V130" s="77"/>
      <c r="W130" s="77"/>
      <c r="X130" s="77"/>
      <c r="AE130" s="65"/>
      <c r="AF130" s="124" t="s">
        <v>228</v>
      </c>
    </row>
    <row r="131" spans="6:32" s="48" customFormat="1" hidden="1" x14ac:dyDescent="0.2">
      <c r="F131" s="48" t="str">
        <f>IF($F$176=5,AF131,Фрезеровки!B133)</f>
        <v>Ультимо</v>
      </c>
      <c r="J131" s="48" t="str">
        <f>IF($F$176=5,"-",Фрезеровки!H133)</f>
        <v>Тулон ВОГН</v>
      </c>
      <c r="L131" s="55"/>
      <c r="M131" s="77"/>
      <c r="N131" s="77"/>
      <c r="O131" s="77"/>
      <c r="P131" s="77"/>
      <c r="Q131" s="77"/>
      <c r="R131" s="77"/>
      <c r="S131" s="77"/>
      <c r="T131" s="77"/>
      <c r="U131" s="77"/>
      <c r="V131" s="77"/>
      <c r="W131" s="77"/>
      <c r="X131" s="77"/>
      <c r="AE131" s="65"/>
      <c r="AF131" s="124" t="s">
        <v>228</v>
      </c>
    </row>
    <row r="132" spans="6:32" s="48" customFormat="1" hidden="1" x14ac:dyDescent="0.2">
      <c r="F132" s="48" t="str">
        <f>IF($F$176=5,AF132,Фрезеровки!B134)</f>
        <v>Фигурний Болонья (лівий)</v>
      </c>
      <c r="J132" s="48" t="str">
        <f>IF($F$176=5,"-",Фрезеровки!H134)</f>
        <v>Тулон ГН</v>
      </c>
      <c r="L132" s="55"/>
      <c r="M132" s="77"/>
      <c r="N132" s="77"/>
      <c r="O132" s="77"/>
      <c r="P132" s="77"/>
      <c r="Q132" s="77"/>
      <c r="R132" s="77"/>
      <c r="S132" s="77"/>
      <c r="T132" s="77"/>
      <c r="U132" s="77"/>
      <c r="V132" s="77"/>
      <c r="W132" s="77"/>
      <c r="X132" s="77"/>
      <c r="AE132" s="65"/>
      <c r="AF132" s="124" t="s">
        <v>228</v>
      </c>
    </row>
    <row r="133" spans="6:32" s="48" customFormat="1" hidden="1" x14ac:dyDescent="0.2">
      <c r="F133" s="48" t="str">
        <f>IF($F$176=5,AF133,Фрезеровки!B135)</f>
        <v>Фигурний Болонья (правий)</v>
      </c>
      <c r="J133" s="48" t="str">
        <f>IF($F$176=5,"-",Фрезеровки!H135)</f>
        <v>Фортуна S-обр (лівий)</v>
      </c>
      <c r="L133" s="55"/>
      <c r="M133" s="77"/>
      <c r="N133" s="77"/>
      <c r="O133" s="77"/>
      <c r="P133" s="77"/>
      <c r="Q133" s="77"/>
      <c r="R133" s="77"/>
      <c r="S133" s="77"/>
      <c r="T133" s="77"/>
      <c r="U133" s="77"/>
      <c r="V133" s="77"/>
      <c r="W133" s="77"/>
      <c r="X133" s="77"/>
      <c r="AE133" s="65"/>
      <c r="AF133" s="124" t="s">
        <v>228</v>
      </c>
    </row>
    <row r="134" spans="6:32" s="48" customFormat="1" hidden="1" x14ac:dyDescent="0.2">
      <c r="F134" s="48" t="str">
        <f>IF($F$176=5,AF134,Фрезеровки!B136)</f>
        <v>Фигурний Марсель (лівий)</v>
      </c>
      <c r="J134" s="48" t="str">
        <f>IF($F$176=5,"-",Фрезеровки!H136)</f>
        <v>Фортуна S-обр (правий)</v>
      </c>
      <c r="L134" s="55"/>
      <c r="M134" s="77"/>
      <c r="N134" s="77"/>
      <c r="O134" s="77"/>
      <c r="P134" s="77"/>
      <c r="Q134" s="77"/>
      <c r="R134" s="77"/>
      <c r="S134" s="77"/>
      <c r="T134" s="77"/>
      <c r="U134" s="77"/>
      <c r="V134" s="77"/>
      <c r="W134" s="77"/>
      <c r="X134" s="77"/>
      <c r="AE134" s="65"/>
      <c r="AF134" s="124" t="s">
        <v>228</v>
      </c>
    </row>
    <row r="135" spans="6:32" s="48" customFormat="1" hidden="1" x14ac:dyDescent="0.2">
      <c r="F135" s="48" t="str">
        <f>IF($F$176=5,AF135,Фрезеровки!B137)</f>
        <v>Фигурний Марсель (правий)</v>
      </c>
      <c r="J135" s="48" t="str">
        <f>IF($F$176=5,"-",Фрезеровки!H137)</f>
        <v>Фортуна ВОГН (лівий)</v>
      </c>
      <c r="L135" s="55"/>
      <c r="M135" s="77"/>
      <c r="N135" s="77"/>
      <c r="O135" s="77"/>
      <c r="P135" s="77"/>
      <c r="Q135" s="77"/>
      <c r="R135" s="77"/>
      <c r="S135" s="77"/>
      <c r="T135" s="77"/>
      <c r="U135" s="77"/>
      <c r="V135" s="77"/>
      <c r="W135" s="77"/>
      <c r="X135" s="77"/>
      <c r="AE135" s="65"/>
      <c r="AF135" s="124" t="s">
        <v>228</v>
      </c>
    </row>
    <row r="136" spans="6:32" s="48" customFormat="1" hidden="1" x14ac:dyDescent="0.2">
      <c r="F136" s="48" t="str">
        <f>IF($F$176=5,AF136,Фрезеровки!B138)</f>
        <v>Фигурний София (лівий)</v>
      </c>
      <c r="J136" s="48" t="str">
        <f>IF($F$176=5,"-",Фрезеровки!H138)</f>
        <v>Фортуна ВОГН (правий)</v>
      </c>
      <c r="L136" s="55"/>
      <c r="M136" s="77"/>
      <c r="N136" s="77"/>
      <c r="O136" s="77"/>
      <c r="P136" s="77"/>
      <c r="Q136" s="77"/>
      <c r="R136" s="77"/>
      <c r="S136" s="77"/>
      <c r="T136" s="77"/>
      <c r="U136" s="77"/>
      <c r="V136" s="77"/>
      <c r="W136" s="77"/>
      <c r="X136" s="77"/>
      <c r="AE136" s="65"/>
      <c r="AF136" s="124" t="s">
        <v>228</v>
      </c>
    </row>
    <row r="137" spans="6:32" s="48" customFormat="1" hidden="1" x14ac:dyDescent="0.2">
      <c r="F137" s="48" t="str">
        <f>IF($F$176=5,AF137,Фрезеровки!B139)</f>
        <v>Фигурний София (правий)</v>
      </c>
      <c r="J137" s="48" t="str">
        <f>IF($F$176=5,"-",Фрезеровки!H139)</f>
        <v>Фортуна ГН (лівий)</v>
      </c>
      <c r="L137" s="55"/>
      <c r="M137" s="77"/>
      <c r="N137" s="77"/>
      <c r="O137" s="77"/>
      <c r="P137" s="77"/>
      <c r="Q137" s="77"/>
      <c r="R137" s="77"/>
      <c r="S137" s="77"/>
      <c r="T137" s="77"/>
      <c r="U137" s="77"/>
      <c r="V137" s="77"/>
      <c r="W137" s="77"/>
      <c r="X137" s="77"/>
      <c r="AE137" s="65"/>
      <c r="AF137" s="124" t="s">
        <v>228</v>
      </c>
    </row>
    <row r="138" spans="6:32" s="48" customFormat="1" hidden="1" x14ac:dyDescent="0.2">
      <c r="F138" s="48" t="str">
        <f>IF($F$176=5,AF138,Фрезеровки!B140)</f>
        <v>Фигурний Тулон (лівий)</v>
      </c>
      <c r="J138" s="48" t="str">
        <f>IF($F$176=5,"-",Фрезеровки!H140)</f>
        <v>Фортуна ГН (правий)</v>
      </c>
      <c r="L138" s="55"/>
      <c r="M138" s="77"/>
      <c r="N138" s="77"/>
      <c r="O138" s="77"/>
      <c r="P138" s="77"/>
      <c r="Q138" s="77"/>
      <c r="R138" s="77"/>
      <c r="S138" s="77"/>
      <c r="T138" s="77"/>
      <c r="U138" s="77"/>
      <c r="V138" s="77"/>
      <c r="W138" s="77"/>
      <c r="X138" s="77"/>
      <c r="AE138" s="65"/>
      <c r="AF138" s="124" t="s">
        <v>228</v>
      </c>
    </row>
    <row r="139" spans="6:32" s="48" customFormat="1" hidden="1" x14ac:dyDescent="0.2">
      <c r="F139" s="48" t="str">
        <f>IF($F$176=5,AF139,Фрезеровки!B141)</f>
        <v>Фигурний Тулон (правий)</v>
      </c>
      <c r="J139" s="129">
        <f>IF($F$176=5,"-",Фрезеровки!H141)</f>
        <v>0</v>
      </c>
      <c r="L139" s="55"/>
      <c r="M139" s="77"/>
      <c r="N139" s="77"/>
      <c r="O139" s="77"/>
      <c r="P139" s="77"/>
      <c r="Q139" s="77"/>
      <c r="R139" s="77"/>
      <c r="S139" s="77"/>
      <c r="T139" s="77"/>
      <c r="U139" s="77"/>
      <c r="V139" s="77"/>
      <c r="W139" s="77"/>
      <c r="X139" s="77"/>
      <c r="AE139" s="65"/>
      <c r="AF139" s="124" t="s">
        <v>228</v>
      </c>
    </row>
    <row r="140" spans="6:32" s="48" customFormat="1" hidden="1" x14ac:dyDescent="0.2">
      <c r="F140" s="48" t="str">
        <f>IF($F$176=5,AF140,Фрезеровки!B142)</f>
        <v>Фортуна (лівий)</v>
      </c>
      <c r="L140" s="55"/>
      <c r="M140" s="77"/>
      <c r="N140" s="77"/>
      <c r="O140" s="77"/>
      <c r="P140" s="77"/>
      <c r="Q140" s="77"/>
      <c r="R140" s="77"/>
      <c r="S140" s="77"/>
      <c r="T140" s="77"/>
      <c r="U140" s="77"/>
      <c r="V140" s="77"/>
      <c r="W140" s="77"/>
      <c r="X140" s="77"/>
      <c r="AE140" s="65"/>
      <c r="AF140" s="124" t="s">
        <v>228</v>
      </c>
    </row>
    <row r="141" spans="6:32" s="48" customFormat="1" hidden="1" x14ac:dyDescent="0.2">
      <c r="F141" s="48" t="str">
        <f>IF($F$176=5,AF141,Фрезеровки!B143)</f>
        <v>Фортуна (правий)</v>
      </c>
      <c r="L141" s="55"/>
      <c r="M141" s="77"/>
      <c r="N141" s="77"/>
      <c r="O141" s="77"/>
      <c r="P141" s="77"/>
      <c r="Q141" s="77"/>
      <c r="R141" s="77"/>
      <c r="S141" s="77"/>
      <c r="T141" s="77"/>
      <c r="U141" s="77"/>
      <c r="V141" s="77"/>
      <c r="W141" s="77"/>
      <c r="X141" s="77"/>
      <c r="AE141" s="65"/>
      <c r="AF141" s="124" t="s">
        <v>228</v>
      </c>
    </row>
    <row r="142" spans="6:32" s="48" customFormat="1" hidden="1" x14ac:dyDescent="0.2">
      <c r="F142" s="48" t="str">
        <f>IF($F$176=5,AF142,Фрезеровки!B144)</f>
        <v>Честер</v>
      </c>
      <c r="L142" s="55"/>
      <c r="M142" s="77"/>
      <c r="N142" s="77"/>
      <c r="O142" s="77"/>
      <c r="P142" s="77"/>
      <c r="Q142" s="77"/>
      <c r="R142" s="77"/>
      <c r="S142" s="77"/>
      <c r="T142" s="77"/>
      <c r="U142" s="77"/>
      <c r="V142" s="77"/>
      <c r="W142" s="77"/>
      <c r="X142" s="77"/>
      <c r="AE142" s="65"/>
      <c r="AF142" s="124" t="s">
        <v>228</v>
      </c>
    </row>
    <row r="143" spans="6:32" s="48" customFormat="1" hidden="1" x14ac:dyDescent="0.2">
      <c r="F143" s="48">
        <f>IF($F$176=5,AF143,Фрезеровки!B145)</f>
        <v>0</v>
      </c>
      <c r="L143" s="55"/>
      <c r="M143" s="77"/>
      <c r="N143" s="77"/>
      <c r="O143" s="77"/>
      <c r="P143" s="77"/>
      <c r="Q143" s="77"/>
      <c r="R143" s="77"/>
      <c r="S143" s="77"/>
      <c r="T143" s="77"/>
      <c r="U143" s="77"/>
      <c r="V143" s="77"/>
      <c r="W143" s="77"/>
      <c r="X143" s="77"/>
      <c r="AE143" s="65"/>
      <c r="AF143" s="124" t="s">
        <v>228</v>
      </c>
    </row>
    <row r="144" spans="6:32" s="48" customFormat="1" hidden="1" x14ac:dyDescent="0.2">
      <c r="F144" s="48">
        <f>IF($F$176=5,AF144,Фрезеровки!B146)</f>
        <v>0</v>
      </c>
      <c r="L144" s="55"/>
      <c r="M144" s="77"/>
      <c r="N144" s="77"/>
      <c r="O144" s="77"/>
      <c r="P144" s="77"/>
      <c r="Q144" s="77"/>
      <c r="R144" s="77"/>
      <c r="S144" s="77"/>
      <c r="T144" s="77"/>
      <c r="U144" s="77"/>
      <c r="V144" s="77"/>
      <c r="W144" s="77"/>
      <c r="X144" s="77"/>
      <c r="AE144" s="65"/>
      <c r="AF144" s="124" t="s">
        <v>228</v>
      </c>
    </row>
    <row r="145" spans="6:32" s="48" customFormat="1" hidden="1" x14ac:dyDescent="0.2">
      <c r="F145" s="48">
        <f>IF($F$176=5,AF145,Фрезеровки!B147)</f>
        <v>0</v>
      </c>
      <c r="L145" s="55"/>
      <c r="M145" s="77"/>
      <c r="N145" s="77"/>
      <c r="O145" s="77"/>
      <c r="P145" s="77"/>
      <c r="Q145" s="77"/>
      <c r="R145" s="77"/>
      <c r="S145" s="77"/>
      <c r="T145" s="77"/>
      <c r="U145" s="77"/>
      <c r="V145" s="77"/>
      <c r="W145" s="77"/>
      <c r="X145" s="77"/>
      <c r="AE145" s="65"/>
      <c r="AF145" s="124" t="s">
        <v>228</v>
      </c>
    </row>
    <row r="146" spans="6:32" s="48" customFormat="1" hidden="1" x14ac:dyDescent="0.2">
      <c r="F146" s="129">
        <f>IF($F$176=5,AF146,Фрезеровки!B148)</f>
        <v>0</v>
      </c>
      <c r="L146" s="55"/>
      <c r="M146" s="77"/>
      <c r="N146" s="77"/>
      <c r="O146" s="77"/>
      <c r="P146" s="77"/>
      <c r="Q146" s="77"/>
      <c r="R146" s="77"/>
      <c r="S146" s="77"/>
      <c r="T146" s="77"/>
      <c r="U146" s="77"/>
      <c r="V146" s="77"/>
      <c r="W146" s="77"/>
      <c r="X146" s="77"/>
      <c r="AE146" s="65"/>
      <c r="AF146" s="124" t="s">
        <v>228</v>
      </c>
    </row>
    <row r="147" spans="6:32" s="48" customFormat="1" hidden="1" x14ac:dyDescent="0.2">
      <c r="L147" s="55"/>
      <c r="M147" s="77"/>
      <c r="N147" s="77"/>
      <c r="O147" s="77"/>
      <c r="P147" s="77"/>
      <c r="Q147" s="77"/>
      <c r="R147" s="77"/>
      <c r="S147" s="77"/>
      <c r="T147" s="77"/>
      <c r="U147" s="77"/>
      <c r="V147" s="77"/>
      <c r="W147" s="77"/>
      <c r="X147" s="77"/>
      <c r="AE147" s="65"/>
    </row>
    <row r="148" spans="6:32" s="48" customFormat="1" hidden="1" x14ac:dyDescent="0.2">
      <c r="L148" s="55"/>
      <c r="M148" s="77"/>
      <c r="N148" s="77"/>
      <c r="O148" s="77"/>
      <c r="P148" s="77"/>
      <c r="Q148" s="77"/>
      <c r="R148" s="77"/>
      <c r="S148" s="77"/>
      <c r="T148" s="77"/>
      <c r="U148" s="77"/>
      <c r="V148" s="77"/>
      <c r="W148" s="77"/>
      <c r="X148" s="77"/>
      <c r="AE148" s="65"/>
    </row>
    <row r="149" spans="6:32" s="48" customFormat="1" hidden="1" x14ac:dyDescent="0.2">
      <c r="L149" s="55"/>
      <c r="M149" s="77"/>
      <c r="N149" s="77"/>
      <c r="O149" s="77"/>
      <c r="P149" s="77"/>
      <c r="Q149" s="77"/>
      <c r="R149" s="77"/>
      <c r="S149" s="77"/>
      <c r="T149" s="77"/>
      <c r="U149" s="77"/>
      <c r="V149" s="77"/>
      <c r="W149" s="77"/>
      <c r="X149" s="77"/>
      <c r="AE149" s="65"/>
    </row>
    <row r="150" spans="6:32" s="48" customFormat="1" hidden="1" x14ac:dyDescent="0.2">
      <c r="L150" s="55"/>
      <c r="M150" s="77"/>
      <c r="N150" s="77"/>
      <c r="O150" s="77"/>
      <c r="P150" s="77"/>
      <c r="Q150" s="77"/>
      <c r="R150" s="77"/>
      <c r="S150" s="77"/>
      <c r="T150" s="77"/>
      <c r="U150" s="77"/>
      <c r="V150" s="77"/>
      <c r="W150" s="77"/>
      <c r="X150" s="77"/>
      <c r="AE150" s="65"/>
    </row>
    <row r="151" spans="6:32" s="48" customFormat="1" hidden="1" x14ac:dyDescent="0.2">
      <c r="L151" s="55"/>
      <c r="M151" s="77"/>
      <c r="N151" s="77"/>
      <c r="O151" s="77"/>
      <c r="P151" s="77"/>
      <c r="Q151" s="77"/>
      <c r="R151" s="77"/>
      <c r="S151" s="77"/>
      <c r="T151" s="77"/>
      <c r="U151" s="77"/>
      <c r="V151" s="77"/>
      <c r="W151" s="77"/>
      <c r="X151" s="77"/>
      <c r="AE151" s="65"/>
    </row>
    <row r="152" spans="6:32" s="48" customFormat="1" hidden="1" x14ac:dyDescent="0.2">
      <c r="L152" s="55"/>
      <c r="M152" s="77"/>
      <c r="N152" s="77"/>
      <c r="O152" s="77"/>
      <c r="P152" s="77"/>
      <c r="Q152" s="77"/>
      <c r="R152" s="77"/>
      <c r="S152" s="77"/>
      <c r="T152" s="77"/>
      <c r="U152" s="77"/>
      <c r="V152" s="77"/>
      <c r="W152" s="77"/>
      <c r="X152" s="77"/>
      <c r="AE152" s="65"/>
    </row>
    <row r="153" spans="6:32" s="48" customFormat="1" hidden="1" x14ac:dyDescent="0.2">
      <c r="L153" s="55"/>
      <c r="M153" s="77"/>
      <c r="N153" s="77"/>
      <c r="O153" s="77"/>
      <c r="P153" s="77"/>
      <c r="Q153" s="77"/>
      <c r="R153" s="77"/>
      <c r="S153" s="77"/>
      <c r="T153" s="77"/>
      <c r="U153" s="77"/>
      <c r="V153" s="77"/>
      <c r="W153" s="77"/>
      <c r="X153" s="77"/>
      <c r="AE153" s="65"/>
    </row>
    <row r="154" spans="6:32" s="48" customFormat="1" hidden="1" x14ac:dyDescent="0.2">
      <c r="L154" s="55"/>
      <c r="M154" s="77"/>
      <c r="N154" s="77"/>
      <c r="O154" s="77"/>
      <c r="P154" s="77"/>
      <c r="Q154" s="77"/>
      <c r="R154" s="77"/>
      <c r="S154" s="77"/>
      <c r="T154" s="77"/>
      <c r="U154" s="77"/>
      <c r="V154" s="77"/>
      <c r="W154" s="77"/>
      <c r="X154" s="77"/>
      <c r="AE154" s="65"/>
    </row>
    <row r="155" spans="6:32" s="48" customFormat="1" hidden="1" x14ac:dyDescent="0.2">
      <c r="L155" s="55"/>
      <c r="M155" s="77"/>
      <c r="N155" s="77"/>
      <c r="O155" s="77"/>
      <c r="P155" s="77"/>
      <c r="Q155" s="77"/>
      <c r="R155" s="77"/>
      <c r="S155" s="77"/>
      <c r="T155" s="77"/>
      <c r="U155" s="77"/>
      <c r="V155" s="77"/>
      <c r="W155" s="77"/>
      <c r="X155" s="77"/>
      <c r="AE155" s="65"/>
    </row>
    <row r="156" spans="6:32" s="48" customFormat="1" hidden="1" x14ac:dyDescent="0.2">
      <c r="L156" s="55"/>
      <c r="M156" s="77"/>
      <c r="N156" s="77"/>
      <c r="O156" s="77"/>
      <c r="P156" s="77"/>
      <c r="Q156" s="77"/>
      <c r="R156" s="77"/>
      <c r="S156" s="77"/>
      <c r="T156" s="77"/>
      <c r="U156" s="77"/>
      <c r="V156" s="77"/>
      <c r="W156" s="77"/>
      <c r="X156" s="77"/>
      <c r="AE156" s="65"/>
    </row>
    <row r="157" spans="6:32" s="48" customFormat="1" hidden="1" x14ac:dyDescent="0.2">
      <c r="L157" s="55"/>
      <c r="M157" s="77"/>
      <c r="N157" s="77"/>
      <c r="O157" s="77"/>
      <c r="P157" s="77"/>
      <c r="Q157" s="77"/>
      <c r="R157" s="77"/>
      <c r="S157" s="77"/>
      <c r="T157" s="77"/>
      <c r="U157" s="77"/>
      <c r="V157" s="77"/>
      <c r="W157" s="77"/>
      <c r="X157" s="77"/>
      <c r="AE157" s="65"/>
    </row>
    <row r="158" spans="6:32" s="48" customFormat="1" hidden="1" x14ac:dyDescent="0.2">
      <c r="L158" s="55"/>
      <c r="M158" s="77"/>
      <c r="N158" s="77"/>
      <c r="O158" s="77"/>
      <c r="P158" s="77"/>
      <c r="Q158" s="77"/>
      <c r="R158" s="77"/>
      <c r="S158" s="77"/>
      <c r="T158" s="77"/>
      <c r="U158" s="77"/>
      <c r="V158" s="77"/>
      <c r="W158" s="77"/>
      <c r="X158" s="77"/>
      <c r="AE158" s="65"/>
    </row>
    <row r="159" spans="6:32" s="48" customFormat="1" hidden="1" x14ac:dyDescent="0.2">
      <c r="L159" s="55"/>
      <c r="M159" s="77"/>
      <c r="N159" s="77"/>
      <c r="O159" s="77"/>
      <c r="P159" s="77"/>
      <c r="Q159" s="77"/>
      <c r="R159" s="77"/>
      <c r="S159" s="77"/>
      <c r="T159" s="77"/>
      <c r="U159" s="77"/>
      <c r="V159" s="77"/>
      <c r="W159" s="77"/>
      <c r="X159" s="77"/>
      <c r="AE159" s="65"/>
    </row>
    <row r="160" spans="6:32" s="48" customFormat="1" hidden="1" x14ac:dyDescent="0.2">
      <c r="L160" s="55"/>
      <c r="M160" s="77"/>
      <c r="N160" s="77"/>
      <c r="O160" s="77"/>
      <c r="P160" s="77"/>
      <c r="Q160" s="77"/>
      <c r="R160" s="77"/>
      <c r="S160" s="77"/>
      <c r="T160" s="77"/>
      <c r="U160" s="77"/>
      <c r="V160" s="77"/>
      <c r="W160" s="77"/>
      <c r="X160" s="77"/>
      <c r="AE160" s="65"/>
    </row>
    <row r="161" spans="1:32" s="48" customFormat="1" hidden="1" x14ac:dyDescent="0.2">
      <c r="L161" s="55"/>
      <c r="M161" s="77"/>
      <c r="N161" s="77"/>
      <c r="O161" s="77"/>
      <c r="P161" s="77"/>
      <c r="Q161" s="77"/>
      <c r="R161" s="77"/>
      <c r="S161" s="77"/>
      <c r="T161" s="77"/>
      <c r="U161" s="77"/>
      <c r="V161" s="77"/>
      <c r="W161" s="77"/>
      <c r="X161" s="77"/>
      <c r="AE161" s="65"/>
    </row>
    <row r="162" spans="1:32" s="48" customFormat="1" hidden="1" x14ac:dyDescent="0.2">
      <c r="L162" s="55"/>
      <c r="M162" s="77"/>
      <c r="N162" s="77"/>
      <c r="O162" s="77"/>
      <c r="P162" s="77"/>
      <c r="Q162" s="77"/>
      <c r="R162" s="77"/>
      <c r="S162" s="77"/>
      <c r="T162" s="77"/>
      <c r="U162" s="77"/>
      <c r="V162" s="77"/>
      <c r="W162" s="77"/>
      <c r="X162" s="77"/>
      <c r="AE162" s="65"/>
    </row>
    <row r="163" spans="1:32" s="48" customFormat="1" hidden="1" x14ac:dyDescent="0.2">
      <c r="L163" s="55"/>
      <c r="M163" s="77"/>
      <c r="N163" s="77"/>
      <c r="O163" s="77"/>
      <c r="P163" s="77"/>
      <c r="Q163" s="77"/>
      <c r="R163" s="77"/>
      <c r="S163" s="77"/>
      <c r="T163" s="77"/>
      <c r="U163" s="77"/>
      <c r="V163" s="77"/>
      <c r="W163" s="77"/>
      <c r="X163" s="77"/>
      <c r="AE163" s="65"/>
    </row>
    <row r="164" spans="1:32" s="48" customFormat="1" hidden="1" x14ac:dyDescent="0.2">
      <c r="L164" s="55"/>
      <c r="M164" s="77"/>
      <c r="N164" s="77"/>
      <c r="O164" s="77"/>
      <c r="P164" s="77"/>
      <c r="Q164" s="77"/>
      <c r="R164" s="77"/>
      <c r="S164" s="77"/>
      <c r="T164" s="77"/>
      <c r="U164" s="77"/>
      <c r="V164" s="77"/>
      <c r="W164" s="77"/>
      <c r="X164" s="77"/>
      <c r="AE164" s="65"/>
    </row>
    <row r="165" spans="1:32" s="48" customFormat="1" hidden="1" x14ac:dyDescent="0.2">
      <c r="L165" s="55"/>
      <c r="M165" s="77"/>
      <c r="N165" s="77"/>
      <c r="O165" s="77"/>
      <c r="P165" s="77"/>
      <c r="Q165" s="77"/>
      <c r="R165" s="77"/>
      <c r="S165" s="77"/>
      <c r="T165" s="77"/>
      <c r="U165" s="77"/>
      <c r="V165" s="77"/>
      <c r="W165" s="77"/>
      <c r="X165" s="77"/>
      <c r="AE165" s="65"/>
    </row>
    <row r="166" spans="1:32" s="48" customFormat="1" hidden="1" x14ac:dyDescent="0.2">
      <c r="L166" s="55"/>
      <c r="M166" s="77"/>
      <c r="N166" s="77"/>
      <c r="O166" s="77"/>
      <c r="P166" s="77"/>
      <c r="Q166" s="77"/>
      <c r="R166" s="77"/>
      <c r="S166" s="77"/>
      <c r="T166" s="77"/>
      <c r="U166" s="77"/>
      <c r="V166" s="77"/>
      <c r="W166" s="77"/>
      <c r="X166" s="77"/>
      <c r="AE166" s="65"/>
    </row>
    <row r="167" spans="1:32" x14ac:dyDescent="0.2">
      <c r="A167"/>
      <c r="B167"/>
      <c r="C167"/>
      <c r="D167"/>
      <c r="E167"/>
      <c r="F167"/>
      <c r="G167"/>
      <c r="H167"/>
      <c r="I167"/>
      <c r="J167"/>
    </row>
    <row r="168" spans="1:32" s="49" customFormat="1" ht="18.75" customHeight="1" x14ac:dyDescent="0.2">
      <c r="A168" s="4" t="s">
        <v>329</v>
      </c>
      <c r="B168" s="4"/>
      <c r="C168" s="4"/>
      <c r="D168" s="186"/>
      <c r="E168" s="186"/>
      <c r="F168" s="4" t="s">
        <v>330</v>
      </c>
      <c r="G168" s="4" t="s">
        <v>2</v>
      </c>
      <c r="H168" s="182">
        <f ca="1">TODAY()</f>
        <v>45940</v>
      </c>
      <c r="I168" s="182"/>
      <c r="J168" s="183"/>
      <c r="L168" s="62"/>
      <c r="M168" s="78"/>
      <c r="N168" s="78"/>
      <c r="O168" s="78"/>
      <c r="P168" s="78"/>
      <c r="Q168" s="78"/>
      <c r="R168" s="78"/>
      <c r="S168" s="78"/>
      <c r="T168" s="78"/>
      <c r="U168" s="78"/>
      <c r="V168" s="78"/>
      <c r="W168" s="78"/>
      <c r="X168" s="78"/>
      <c r="Z168" s="66"/>
      <c r="AA168" s="66"/>
      <c r="AB168" s="66"/>
      <c r="AC168" s="66"/>
      <c r="AD168" s="66"/>
      <c r="AE168" s="67"/>
      <c r="AF168" s="66"/>
    </row>
    <row r="169" spans="1:32" x14ac:dyDescent="0.2">
      <c r="A169" s="9"/>
      <c r="B169" s="9"/>
      <c r="C169" s="9"/>
      <c r="D169" s="9"/>
      <c r="E169" s="9"/>
      <c r="F169" s="9"/>
      <c r="G169" s="9"/>
      <c r="H169" s="9"/>
      <c r="I169" s="9"/>
      <c r="J169" s="9"/>
    </row>
    <row r="170" spans="1:32" ht="18.75" customHeight="1" x14ac:dyDescent="0.2">
      <c r="A170" s="175" t="s">
        <v>331</v>
      </c>
      <c r="B170" s="175"/>
      <c r="C170" s="188" t="s">
        <v>186</v>
      </c>
      <c r="D170" s="189"/>
      <c r="E170" s="189"/>
      <c r="F170" s="189"/>
      <c r="G170"/>
      <c r="H170"/>
      <c r="I170"/>
      <c r="J170" s="102"/>
    </row>
    <row r="171" spans="1:32" x14ac:dyDescent="0.2">
      <c r="A171"/>
      <c r="B171"/>
      <c r="C171"/>
      <c r="D171"/>
      <c r="E171"/>
      <c r="F171"/>
      <c r="G171"/>
      <c r="H171"/>
      <c r="I171"/>
      <c r="J171"/>
    </row>
    <row r="172" spans="1:32" s="50" customFormat="1" ht="18.75" customHeight="1" x14ac:dyDescent="0.2">
      <c r="A172" s="3" t="s">
        <v>332</v>
      </c>
      <c r="B172" s="3"/>
      <c r="C172" s="186"/>
      <c r="D172" s="187"/>
      <c r="E172" s="187"/>
      <c r="F172" s="187"/>
      <c r="G172" s="3"/>
      <c r="H172" s="195" t="s">
        <v>333</v>
      </c>
      <c r="I172" s="196"/>
      <c r="J172" s="198"/>
      <c r="L172" s="62"/>
      <c r="M172" s="78"/>
      <c r="N172" s="78"/>
      <c r="O172" s="78"/>
      <c r="P172" s="78"/>
      <c r="Q172" s="78"/>
      <c r="R172" s="78"/>
      <c r="S172" s="78"/>
      <c r="T172" s="78"/>
      <c r="U172" s="78"/>
      <c r="V172" s="78"/>
      <c r="W172" s="78"/>
      <c r="X172" s="78"/>
      <c r="Z172" s="68"/>
      <c r="AA172" s="68"/>
      <c r="AB172" s="68"/>
      <c r="AC172" s="68"/>
      <c r="AD172" s="68"/>
      <c r="AE172" s="69"/>
      <c r="AF172" s="68"/>
    </row>
    <row r="173" spans="1:32" s="50" customFormat="1" ht="18.75" customHeight="1" x14ac:dyDescent="0.2">
      <c r="A173" s="60" t="s">
        <v>3</v>
      </c>
      <c r="C173" s="190"/>
      <c r="D173" s="190"/>
      <c r="E173" s="191"/>
      <c r="F173" s="191"/>
      <c r="G173" s="3"/>
      <c r="H173" s="197"/>
      <c r="I173" s="196"/>
      <c r="J173" s="199"/>
      <c r="L173" s="62"/>
      <c r="M173" s="78"/>
      <c r="N173" s="78"/>
      <c r="O173" s="78"/>
      <c r="P173" s="78"/>
      <c r="Q173" s="78"/>
      <c r="R173" s="78"/>
      <c r="S173" s="78"/>
      <c r="T173" s="78"/>
      <c r="U173" s="78"/>
      <c r="V173" s="78"/>
      <c r="W173" s="78"/>
      <c r="X173" s="78"/>
      <c r="Z173" s="68"/>
      <c r="AA173" s="68"/>
      <c r="AB173" s="68"/>
      <c r="AC173" s="68"/>
      <c r="AD173" s="68"/>
      <c r="AE173" s="69"/>
      <c r="AF173" s="68"/>
    </row>
    <row r="174" spans="1:32" x14ac:dyDescent="0.2">
      <c r="A174"/>
      <c r="B174"/>
      <c r="C174"/>
      <c r="D174"/>
      <c r="E174"/>
      <c r="F174"/>
      <c r="G174"/>
      <c r="H174"/>
      <c r="I174"/>
      <c r="J174"/>
      <c r="AE174" s="65">
        <f>IF(E181="Да",(AD181*(Z181+AA181+AB181+AC181)+IF(F181="дек.планка Париж",125*D181,IF(F181="дек.планка Флора",125*D181,IF(F181="Колонна верхняя RH",650*D181,IF(F181="Колонна нижняя RH",820*D181)))))*1.15,(AD181*(Z181+AA181+AB181+AC181)+IF(F181="дек.планка Париж",125*D181,IF(F181="дек.планка Флора",125*D181,IF(F181="Колонна верхняя RH",650*D181,IF(F181="Колонна нижняя RH",820*D181))))))</f>
        <v>0</v>
      </c>
    </row>
    <row r="175" spans="1:32" x14ac:dyDescent="0.2">
      <c r="A175" s="61" t="s">
        <v>334</v>
      </c>
      <c r="B175"/>
      <c r="C175"/>
      <c r="D175"/>
      <c r="E175"/>
      <c r="F175" s="109" t="s">
        <v>335</v>
      </c>
      <c r="G175" s="61" t="s">
        <v>155</v>
      </c>
      <c r="H175"/>
      <c r="I175"/>
      <c r="J175" s="2" t="s">
        <v>336</v>
      </c>
    </row>
    <row r="176" spans="1:32" s="50" customFormat="1" ht="21" customHeight="1" x14ac:dyDescent="0.2">
      <c r="A176" s="203">
        <v>1</v>
      </c>
      <c r="B176" s="203"/>
      <c r="C176" s="203"/>
      <c r="D176" s="203"/>
      <c r="E176" s="4"/>
      <c r="F176" s="108">
        <v>1</v>
      </c>
      <c r="G176" s="192"/>
      <c r="H176" s="193"/>
      <c r="I176" s="194"/>
      <c r="J176" s="110"/>
      <c r="L176" s="62"/>
      <c r="M176" s="78"/>
      <c r="N176" s="78"/>
      <c r="O176" s="78"/>
      <c r="P176" s="78"/>
      <c r="Q176" s="78"/>
      <c r="R176" s="78"/>
      <c r="S176" s="78"/>
      <c r="T176" s="78"/>
      <c r="U176" s="78"/>
      <c r="V176" s="78"/>
      <c r="W176" s="78"/>
      <c r="X176" s="78"/>
      <c r="Z176" s="68"/>
      <c r="AA176" s="68"/>
      <c r="AB176" s="68"/>
      <c r="AC176" s="68"/>
      <c r="AD176" s="68"/>
      <c r="AE176" s="69"/>
      <c r="AF176" s="68"/>
    </row>
    <row r="177" spans="1:32" ht="6.75" customHeight="1" x14ac:dyDescent="0.2">
      <c r="A177" s="45"/>
      <c r="B177" s="45"/>
      <c r="C177" s="45"/>
      <c r="D177" s="45"/>
      <c r="E177" s="45"/>
      <c r="F177" s="45"/>
      <c r="G177" s="45"/>
      <c r="H177" s="45"/>
      <c r="I177" s="45"/>
      <c r="J177" s="45"/>
    </row>
    <row r="178" spans="1:32" s="51" customFormat="1" ht="25.5" customHeight="1" thickBot="1" x14ac:dyDescent="0.25">
      <c r="A178" s="7" t="s">
        <v>0</v>
      </c>
      <c r="B178" s="7" t="s">
        <v>340</v>
      </c>
      <c r="C178" s="7" t="s">
        <v>1</v>
      </c>
      <c r="D178" s="7" t="s">
        <v>341</v>
      </c>
      <c r="E178" s="154" t="s">
        <v>342</v>
      </c>
      <c r="F178" s="7" t="s">
        <v>343</v>
      </c>
      <c r="G178" s="7" t="s">
        <v>344</v>
      </c>
      <c r="H178" s="7" t="s">
        <v>345</v>
      </c>
      <c r="I178" s="7" t="s">
        <v>346</v>
      </c>
      <c r="J178" s="7" t="s">
        <v>347</v>
      </c>
      <c r="L178" s="76" t="s">
        <v>129</v>
      </c>
      <c r="M178" s="79"/>
      <c r="N178" s="79"/>
      <c r="O178" s="79"/>
      <c r="P178" s="79"/>
      <c r="Q178" s="79"/>
      <c r="R178" s="79"/>
      <c r="S178" s="79"/>
      <c r="T178" s="79"/>
      <c r="U178" s="79"/>
      <c r="V178" s="79"/>
      <c r="W178" s="79"/>
      <c r="X178" s="79"/>
      <c r="Z178" s="70"/>
      <c r="AA178" s="70"/>
      <c r="AB178" s="70"/>
      <c r="AC178" s="70"/>
      <c r="AD178" s="70"/>
      <c r="AE178" s="71"/>
      <c r="AF178" s="70"/>
    </row>
    <row r="179" spans="1:32" s="50" customFormat="1" ht="15.75" customHeight="1" thickBot="1" x14ac:dyDescent="0.25">
      <c r="A179" s="184" t="s">
        <v>348</v>
      </c>
      <c r="B179" s="185"/>
      <c r="C179" s="6"/>
      <c r="D179" s="153" t="s">
        <v>349</v>
      </c>
      <c r="E179" s="157"/>
      <c r="F179" s="13"/>
      <c r="G179" s="13"/>
      <c r="H179" s="13"/>
      <c r="I179" s="13"/>
      <c r="J179" s="8"/>
      <c r="L179" s="83">
        <f>IF(E179&gt;0,"--- Скрыть пустые строки ---",)</f>
        <v>0</v>
      </c>
      <c r="M179" s="80"/>
      <c r="N179" s="80"/>
      <c r="O179" s="80"/>
      <c r="P179" s="80"/>
      <c r="Q179" s="80"/>
      <c r="R179" s="80"/>
      <c r="S179" s="80"/>
      <c r="T179" s="80"/>
      <c r="U179" s="80"/>
      <c r="V179" s="80"/>
      <c r="W179" s="80"/>
      <c r="X179" s="80"/>
      <c r="Z179" s="68" t="s">
        <v>37</v>
      </c>
      <c r="AA179" s="68" t="s">
        <v>38</v>
      </c>
      <c r="AB179" s="68" t="s">
        <v>39</v>
      </c>
      <c r="AC179" s="68" t="s">
        <v>122</v>
      </c>
      <c r="AD179" s="68" t="s">
        <v>118</v>
      </c>
      <c r="AE179" s="69" t="s">
        <v>119</v>
      </c>
      <c r="AF179" s="68" t="s">
        <v>287</v>
      </c>
    </row>
    <row r="180" spans="1:32" s="50" customFormat="1" ht="15" customHeight="1" x14ac:dyDescent="0.2">
      <c r="A180" s="43">
        <v>1</v>
      </c>
      <c r="B180" s="44"/>
      <c r="C180" s="41"/>
      <c r="D180" s="41"/>
      <c r="E180" s="86"/>
      <c r="F180" s="87"/>
      <c r="G180" s="105"/>
      <c r="H180" s="88"/>
      <c r="I180" s="89"/>
      <c r="J180" s="42"/>
      <c r="K180" s="50" t="str">
        <f t="shared" ref="K180:K209" si="1">IF(D180&gt;0,IF(N(Z180)=0,"Тип покраски",IF(ISNA(AB180),"Рисунок","")),"")</f>
        <v/>
      </c>
      <c r="L180" s="83">
        <f t="shared" ref="L180:L209" si="2">IF(SUM(B180:D180)&gt;0,"--- Скрыть пустые строки ---",)</f>
        <v>0</v>
      </c>
      <c r="M180" s="80"/>
      <c r="N180" s="80"/>
      <c r="O180" s="80"/>
      <c r="P180" s="80"/>
      <c r="Q180" s="80"/>
      <c r="R180" s="80"/>
      <c r="S180" s="80"/>
      <c r="T180" s="80"/>
      <c r="U180" s="80"/>
      <c r="V180" s="80"/>
      <c r="W180" s="80"/>
      <c r="X180" s="80"/>
      <c r="Z180" s="68">
        <f>IF($E$179=0,0,HLOOKUP($E$179,Краски!$A$10:$N$47,$F$176+1,0))</f>
        <v>0</v>
      </c>
      <c r="AA180" s="68">
        <f>VLOOKUP($A$176,Патина!$A$2:$C$18,3,0)</f>
        <v>0</v>
      </c>
      <c r="AB180" s="68">
        <f>IF(SUM(B180:D180)&gt;0,VLOOKUP(F180,Фрезеровки!$B$3:$D$144,3,0),0)</f>
        <v>0</v>
      </c>
      <c r="AC180" s="68">
        <f>IF(I180=$I$2,330,IF(I180=$I$3,575,0))</f>
        <v>0</v>
      </c>
      <c r="AD180" s="68">
        <f>ROUND(B180*C180*D180/1000000,2)</f>
        <v>0</v>
      </c>
      <c r="AE180" s="69">
        <f>IF(E180="Да",(AD180*(Z180+AB180+AC180))*1.15+AA180*AD180,(AD180*(Z180+AA180+AB180+AC180)))+AF180*D180</f>
        <v>0</v>
      </c>
      <c r="AF180" s="68">
        <f>IF(ISERROR(VLOOKUP(F180,Фрезеровки!$B$3:$E$144,4,0)),0,VLOOKUP(F180,Фрезеровки!$B$3:$E$144,4,0))</f>
        <v>0</v>
      </c>
    </row>
    <row r="181" spans="1:32" s="50" customFormat="1" ht="15" customHeight="1" x14ac:dyDescent="0.2">
      <c r="A181" s="11">
        <v>2</v>
      </c>
      <c r="B181" s="44"/>
      <c r="C181" s="41"/>
      <c r="D181" s="41"/>
      <c r="E181" s="86"/>
      <c r="F181" s="87"/>
      <c r="G181" s="106"/>
      <c r="H181" s="93"/>
      <c r="I181" s="94"/>
      <c r="J181" s="28"/>
      <c r="K181" s="50" t="str">
        <f t="shared" si="1"/>
        <v/>
      </c>
      <c r="L181" s="83">
        <f t="shared" si="2"/>
        <v>0</v>
      </c>
      <c r="M181" s="80"/>
      <c r="N181" s="80"/>
      <c r="O181" s="80"/>
      <c r="P181" s="80"/>
      <c r="Q181" s="80"/>
      <c r="R181" s="80"/>
      <c r="S181" s="80"/>
      <c r="T181" s="80"/>
      <c r="U181" s="80"/>
      <c r="V181" s="80"/>
      <c r="W181" s="80"/>
      <c r="X181" s="80"/>
      <c r="Z181" s="68">
        <f>IF($E$179=0,0,HLOOKUP($E$179,Краски!$A$10:$N$47,$F$176+1,0))</f>
        <v>0</v>
      </c>
      <c r="AA181" s="68">
        <f>VLOOKUP($A$176,Патина!$A$2:$C$18,3,0)</f>
        <v>0</v>
      </c>
      <c r="AB181" s="68">
        <f>IF(SUM(B181:D181)&gt;0,VLOOKUP(F181,Фрезеровки!$B$3:$D$144,3,0),0)</f>
        <v>0</v>
      </c>
      <c r="AC181" s="68">
        <f t="shared" ref="AC181:AC218" si="3">IF(I181=$I$2,330,IF(I181=$I$3,575,0))</f>
        <v>0</v>
      </c>
      <c r="AD181" s="68">
        <f t="shared" ref="AD181:AD209" si="4">ROUND(B181*C181*D181/1000000,2)</f>
        <v>0</v>
      </c>
      <c r="AE181" s="69">
        <f t="shared" ref="AE181:AE209" si="5">IF(E181="Да",(AD181*(Z181+AB181+AC181))*1.15+AA181*AD181,(AD181*(Z181+AA181+AB181+AC181)))+AF181*D181</f>
        <v>0</v>
      </c>
      <c r="AF181" s="68">
        <f>IF(ISERROR(VLOOKUP(F181,Фрезеровки!$B$3:$E$144,4,0)),0,VLOOKUP(F181,Фрезеровки!$B$3:$E$144,4,0))</f>
        <v>0</v>
      </c>
    </row>
    <row r="182" spans="1:32" s="50" customFormat="1" ht="15" customHeight="1" x14ac:dyDescent="0.2">
      <c r="A182" s="11">
        <v>3</v>
      </c>
      <c r="B182" s="23"/>
      <c r="C182" s="24"/>
      <c r="D182" s="24"/>
      <c r="E182" s="90"/>
      <c r="F182" s="91"/>
      <c r="G182" s="106"/>
      <c r="H182" s="93"/>
      <c r="I182" s="94"/>
      <c r="J182" s="28"/>
      <c r="K182" s="50" t="str">
        <f t="shared" si="1"/>
        <v/>
      </c>
      <c r="L182" s="83">
        <f t="shared" si="2"/>
        <v>0</v>
      </c>
      <c r="M182" s="80"/>
      <c r="N182" s="80"/>
      <c r="O182" s="80"/>
      <c r="P182" s="80"/>
      <c r="Q182" s="80"/>
      <c r="R182" s="80"/>
      <c r="S182" s="80"/>
      <c r="T182" s="80"/>
      <c r="U182" s="80"/>
      <c r="V182" s="80"/>
      <c r="W182" s="80"/>
      <c r="X182" s="80"/>
      <c r="Z182" s="68">
        <f>IF($E$179=0,0,HLOOKUP($E$179,Краски!$A$10:$N$47,$F$176+1,0))</f>
        <v>0</v>
      </c>
      <c r="AA182" s="68">
        <f>VLOOKUP($A$176,Патина!$A$2:$C$18,3,0)</f>
        <v>0</v>
      </c>
      <c r="AB182" s="68">
        <f>IF(SUM(B182:D182)&gt;0,VLOOKUP(F182,Фрезеровки!$B$3:$D$144,3,0),0)</f>
        <v>0</v>
      </c>
      <c r="AC182" s="68">
        <f t="shared" si="3"/>
        <v>0</v>
      </c>
      <c r="AD182" s="68">
        <f t="shared" si="4"/>
        <v>0</v>
      </c>
      <c r="AE182" s="69">
        <f t="shared" si="5"/>
        <v>0</v>
      </c>
      <c r="AF182" s="68">
        <f>IF(ISERROR(VLOOKUP(F182,Фрезеровки!$B$3:$E$144,4,0)),0,VLOOKUP(F182,Фрезеровки!$B$3:$E$144,4,0))</f>
        <v>0</v>
      </c>
    </row>
    <row r="183" spans="1:32" s="50" customFormat="1" ht="15" customHeight="1" x14ac:dyDescent="0.2">
      <c r="A183" s="11">
        <v>4</v>
      </c>
      <c r="B183" s="23"/>
      <c r="C183" s="24"/>
      <c r="D183" s="24"/>
      <c r="E183" s="90"/>
      <c r="F183" s="91"/>
      <c r="G183" s="106"/>
      <c r="H183" s="93"/>
      <c r="I183" s="94"/>
      <c r="J183" s="28"/>
      <c r="K183" s="50" t="str">
        <f t="shared" si="1"/>
        <v/>
      </c>
      <c r="L183" s="83">
        <f t="shared" si="2"/>
        <v>0</v>
      </c>
      <c r="M183" s="80"/>
      <c r="N183" s="80"/>
      <c r="O183" s="80"/>
      <c r="P183" s="80"/>
      <c r="Q183" s="80"/>
      <c r="R183" s="80"/>
      <c r="S183" s="80"/>
      <c r="T183" s="80"/>
      <c r="U183" s="80"/>
      <c r="V183" s="80"/>
      <c r="W183" s="80"/>
      <c r="X183" s="80"/>
      <c r="Z183" s="68">
        <f>IF($E$179=0,0,HLOOKUP($E$179,Краски!$A$10:$N$47,$F$176+1,0))</f>
        <v>0</v>
      </c>
      <c r="AA183" s="68">
        <f>VLOOKUP($A$176,Патина!$A$2:$C$18,3,0)</f>
        <v>0</v>
      </c>
      <c r="AB183" s="68">
        <f>IF(SUM(B183:D183)&gt;0,VLOOKUP(F183,Фрезеровки!$B$3:$D$144,3,0),0)</f>
        <v>0</v>
      </c>
      <c r="AC183" s="68">
        <f t="shared" si="3"/>
        <v>0</v>
      </c>
      <c r="AD183" s="68">
        <f t="shared" si="4"/>
        <v>0</v>
      </c>
      <c r="AE183" s="69">
        <f t="shared" si="5"/>
        <v>0</v>
      </c>
      <c r="AF183" s="68">
        <f>IF(ISERROR(VLOOKUP(F183,Фрезеровки!$B$3:$E$144,4,0)),0,VLOOKUP(F183,Фрезеровки!$B$3:$E$144,4,0))</f>
        <v>0</v>
      </c>
    </row>
    <row r="184" spans="1:32" s="50" customFormat="1" ht="15" customHeight="1" x14ac:dyDescent="0.2">
      <c r="A184" s="11">
        <v>5</v>
      </c>
      <c r="B184" s="23"/>
      <c r="C184" s="24"/>
      <c r="D184" s="24"/>
      <c r="E184" s="90"/>
      <c r="F184" s="91"/>
      <c r="G184" s="106"/>
      <c r="H184" s="93"/>
      <c r="I184" s="94"/>
      <c r="J184" s="28"/>
      <c r="K184" s="50" t="str">
        <f t="shared" si="1"/>
        <v/>
      </c>
      <c r="L184" s="83">
        <f t="shared" si="2"/>
        <v>0</v>
      </c>
      <c r="M184" s="80"/>
      <c r="N184" s="80"/>
      <c r="O184" s="80"/>
      <c r="P184" s="80"/>
      <c r="Q184" s="80"/>
      <c r="R184" s="80"/>
      <c r="S184" s="80"/>
      <c r="T184" s="80"/>
      <c r="U184" s="80"/>
      <c r="V184" s="80"/>
      <c r="W184" s="80"/>
      <c r="X184" s="80"/>
      <c r="Z184" s="68">
        <f>IF($E$179=0,0,HLOOKUP($E$179,Краски!$A$10:$N$47,$F$176+1,0))</f>
        <v>0</v>
      </c>
      <c r="AA184" s="68">
        <f>VLOOKUP($A$176,Патина!$A$2:$C$18,3,0)</f>
        <v>0</v>
      </c>
      <c r="AB184" s="68">
        <f>IF(SUM(B184:D184)&gt;0,VLOOKUP(F184,Фрезеровки!$B$3:$D$144,3,0),0)</f>
        <v>0</v>
      </c>
      <c r="AC184" s="68">
        <f t="shared" si="3"/>
        <v>0</v>
      </c>
      <c r="AD184" s="68">
        <f t="shared" si="4"/>
        <v>0</v>
      </c>
      <c r="AE184" s="69">
        <f t="shared" si="5"/>
        <v>0</v>
      </c>
      <c r="AF184" s="68">
        <f>IF(ISERROR(VLOOKUP(F184,Фрезеровки!$B$3:$E$144,4,0)),0,VLOOKUP(F184,Фрезеровки!$B$3:$E$144,4,0))</f>
        <v>0</v>
      </c>
    </row>
    <row r="185" spans="1:32" s="50" customFormat="1" ht="15" customHeight="1" x14ac:dyDescent="0.2">
      <c r="A185" s="11">
        <v>6</v>
      </c>
      <c r="B185" s="23"/>
      <c r="C185" s="24"/>
      <c r="D185" s="24"/>
      <c r="E185" s="90"/>
      <c r="F185" s="91"/>
      <c r="G185" s="106"/>
      <c r="H185" s="93"/>
      <c r="I185" s="94"/>
      <c r="J185" s="28"/>
      <c r="K185" s="50" t="str">
        <f t="shared" si="1"/>
        <v/>
      </c>
      <c r="L185" s="83">
        <f t="shared" si="2"/>
        <v>0</v>
      </c>
      <c r="M185" s="80"/>
      <c r="N185" s="80"/>
      <c r="O185" s="80"/>
      <c r="P185" s="80"/>
      <c r="Q185" s="80"/>
      <c r="R185" s="80"/>
      <c r="S185" s="80"/>
      <c r="T185" s="80"/>
      <c r="U185" s="80"/>
      <c r="V185" s="80"/>
      <c r="W185" s="80"/>
      <c r="X185" s="80"/>
      <c r="Z185" s="68">
        <f>IF($E$179=0,0,HLOOKUP($E$179,Краски!$A$10:$N$47,$F$176+1,0))</f>
        <v>0</v>
      </c>
      <c r="AA185" s="68">
        <f>VLOOKUP($A$176,Патина!$A$2:$C$18,3,0)</f>
        <v>0</v>
      </c>
      <c r="AB185" s="68">
        <f>IF(SUM(B185:D185)&gt;0,VLOOKUP(F185,Фрезеровки!$B$3:$D$144,3,0),0)</f>
        <v>0</v>
      </c>
      <c r="AC185" s="68">
        <f t="shared" si="3"/>
        <v>0</v>
      </c>
      <c r="AD185" s="68">
        <f t="shared" si="4"/>
        <v>0</v>
      </c>
      <c r="AE185" s="69">
        <f t="shared" si="5"/>
        <v>0</v>
      </c>
      <c r="AF185" s="68">
        <f>IF(ISERROR(VLOOKUP(F185,Фрезеровки!$B$3:$E$144,4,0)),0,VLOOKUP(F185,Фрезеровки!$B$3:$E$144,4,0))</f>
        <v>0</v>
      </c>
    </row>
    <row r="186" spans="1:32" s="50" customFormat="1" ht="15" customHeight="1" x14ac:dyDescent="0.2">
      <c r="A186" s="11">
        <v>7</v>
      </c>
      <c r="B186" s="23"/>
      <c r="C186" s="24"/>
      <c r="D186" s="24"/>
      <c r="E186" s="90"/>
      <c r="F186" s="91"/>
      <c r="G186" s="106"/>
      <c r="H186" s="93"/>
      <c r="I186" s="94"/>
      <c r="J186" s="28"/>
      <c r="K186" s="50" t="str">
        <f t="shared" si="1"/>
        <v/>
      </c>
      <c r="L186" s="83">
        <f t="shared" si="2"/>
        <v>0</v>
      </c>
      <c r="M186" s="80"/>
      <c r="N186" s="80"/>
      <c r="O186" s="80"/>
      <c r="P186" s="80"/>
      <c r="Q186" s="80"/>
      <c r="R186" s="80"/>
      <c r="S186" s="80"/>
      <c r="T186" s="80"/>
      <c r="U186" s="80"/>
      <c r="V186" s="80"/>
      <c r="W186" s="80"/>
      <c r="X186" s="80"/>
      <c r="Z186" s="68">
        <f>IF($E$179=0,0,HLOOKUP($E$179,Краски!$A$10:$N$47,$F$176+1,0))</f>
        <v>0</v>
      </c>
      <c r="AA186" s="68">
        <f>VLOOKUP($A$176,Патина!$A$2:$C$18,3,0)</f>
        <v>0</v>
      </c>
      <c r="AB186" s="68">
        <f>IF(SUM(B186:D186)&gt;0,VLOOKUP(F186,Фрезеровки!$B$3:$D$144,3,0),0)</f>
        <v>0</v>
      </c>
      <c r="AC186" s="68">
        <f t="shared" si="3"/>
        <v>0</v>
      </c>
      <c r="AD186" s="68">
        <f t="shared" si="4"/>
        <v>0</v>
      </c>
      <c r="AE186" s="69">
        <f t="shared" si="5"/>
        <v>0</v>
      </c>
      <c r="AF186" s="68">
        <f>IF(ISERROR(VLOOKUP(F186,Фрезеровки!$B$3:$E$144,4,0)),0,VLOOKUP(F186,Фрезеровки!$B$3:$E$144,4,0))</f>
        <v>0</v>
      </c>
    </row>
    <row r="187" spans="1:32" s="50" customFormat="1" ht="15" customHeight="1" x14ac:dyDescent="0.2">
      <c r="A187" s="11">
        <v>8</v>
      </c>
      <c r="B187" s="23"/>
      <c r="C187" s="24"/>
      <c r="D187" s="24"/>
      <c r="E187" s="90"/>
      <c r="F187" s="91"/>
      <c r="G187" s="106"/>
      <c r="H187" s="93"/>
      <c r="I187" s="94"/>
      <c r="J187" s="28"/>
      <c r="K187" s="50" t="str">
        <f t="shared" si="1"/>
        <v/>
      </c>
      <c r="L187" s="83">
        <f t="shared" si="2"/>
        <v>0</v>
      </c>
      <c r="M187" s="80"/>
      <c r="N187" s="80"/>
      <c r="O187" s="80"/>
      <c r="P187" s="80"/>
      <c r="Q187" s="80"/>
      <c r="R187" s="80"/>
      <c r="S187" s="80"/>
      <c r="T187" s="80"/>
      <c r="U187" s="80"/>
      <c r="V187" s="80"/>
      <c r="W187" s="80"/>
      <c r="X187" s="80"/>
      <c r="Z187" s="68">
        <f>IF($E$179=0,0,HLOOKUP($E$179,Краски!$A$10:$N$47,$F$176+1,0))</f>
        <v>0</v>
      </c>
      <c r="AA187" s="68">
        <f>VLOOKUP($A$176,Патина!$A$2:$C$18,3,0)</f>
        <v>0</v>
      </c>
      <c r="AB187" s="68">
        <f>IF(SUM(B187:D187)&gt;0,VLOOKUP(F187,Фрезеровки!$B$3:$D$144,3,0),0)</f>
        <v>0</v>
      </c>
      <c r="AC187" s="68">
        <f t="shared" si="3"/>
        <v>0</v>
      </c>
      <c r="AD187" s="68">
        <f t="shared" si="4"/>
        <v>0</v>
      </c>
      <c r="AE187" s="69">
        <f t="shared" si="5"/>
        <v>0</v>
      </c>
      <c r="AF187" s="68">
        <f>IF(ISERROR(VLOOKUP(F187,Фрезеровки!$B$3:$E$144,4,0)),0,VLOOKUP(F187,Фрезеровки!$B$3:$E$144,4,0))</f>
        <v>0</v>
      </c>
    </row>
    <row r="188" spans="1:32" s="50" customFormat="1" ht="15" customHeight="1" x14ac:dyDescent="0.2">
      <c r="A188" s="11">
        <v>9</v>
      </c>
      <c r="B188" s="23"/>
      <c r="C188" s="24"/>
      <c r="D188" s="24"/>
      <c r="E188" s="90"/>
      <c r="F188" s="91"/>
      <c r="G188" s="106"/>
      <c r="H188" s="93"/>
      <c r="I188" s="94"/>
      <c r="J188" s="28"/>
      <c r="K188" s="50" t="str">
        <f t="shared" si="1"/>
        <v/>
      </c>
      <c r="L188" s="83">
        <f t="shared" si="2"/>
        <v>0</v>
      </c>
      <c r="M188" s="80"/>
      <c r="N188" s="80"/>
      <c r="O188" s="80"/>
      <c r="P188" s="80"/>
      <c r="Q188" s="80"/>
      <c r="R188" s="80"/>
      <c r="S188" s="80"/>
      <c r="T188" s="80"/>
      <c r="U188" s="80"/>
      <c r="V188" s="80"/>
      <c r="W188" s="80"/>
      <c r="X188" s="80"/>
      <c r="Z188" s="68">
        <f>IF($E$179=0,0,HLOOKUP($E$179,Краски!$A$10:$N$47,$F$176+1,0))</f>
        <v>0</v>
      </c>
      <c r="AA188" s="68">
        <f>VLOOKUP($A$176,Патина!$A$2:$C$18,3,0)</f>
        <v>0</v>
      </c>
      <c r="AB188" s="68">
        <f>IF(SUM(B188:D188)&gt;0,VLOOKUP(F188,Фрезеровки!$B$3:$D$144,3,0),0)</f>
        <v>0</v>
      </c>
      <c r="AC188" s="68">
        <f t="shared" si="3"/>
        <v>0</v>
      </c>
      <c r="AD188" s="68">
        <f t="shared" si="4"/>
        <v>0</v>
      </c>
      <c r="AE188" s="69">
        <f t="shared" si="5"/>
        <v>0</v>
      </c>
      <c r="AF188" s="68">
        <f>IF(ISERROR(VLOOKUP(F188,Фрезеровки!$B$3:$E$144,4,0)),0,VLOOKUP(F188,Фрезеровки!$B$3:$E$144,4,0))</f>
        <v>0</v>
      </c>
    </row>
    <row r="189" spans="1:32" s="50" customFormat="1" ht="15" customHeight="1" x14ac:dyDescent="0.2">
      <c r="A189" s="11">
        <v>10</v>
      </c>
      <c r="B189" s="23"/>
      <c r="C189" s="24"/>
      <c r="D189" s="24"/>
      <c r="E189" s="90"/>
      <c r="F189" s="91"/>
      <c r="G189" s="106"/>
      <c r="H189" s="93"/>
      <c r="I189" s="94"/>
      <c r="J189" s="28"/>
      <c r="K189" s="50" t="str">
        <f t="shared" si="1"/>
        <v/>
      </c>
      <c r="L189" s="83">
        <f t="shared" si="2"/>
        <v>0</v>
      </c>
      <c r="M189" s="80"/>
      <c r="N189" s="80"/>
      <c r="O189" s="80"/>
      <c r="P189" s="80"/>
      <c r="Q189" s="80"/>
      <c r="R189" s="80"/>
      <c r="S189" s="80"/>
      <c r="T189" s="80"/>
      <c r="U189" s="80"/>
      <c r="V189" s="80"/>
      <c r="W189" s="80"/>
      <c r="X189" s="80"/>
      <c r="Z189" s="68">
        <f>IF($E$179=0,0,HLOOKUP($E$179,Краски!$A$10:$N$47,$F$176+1,0))</f>
        <v>0</v>
      </c>
      <c r="AA189" s="68">
        <f>VLOOKUP($A$176,Патина!$A$2:$C$18,3,0)</f>
        <v>0</v>
      </c>
      <c r="AB189" s="68">
        <f>IF(SUM(B189:D189)&gt;0,VLOOKUP(F189,Фрезеровки!$B$3:$D$144,3,0),0)</f>
        <v>0</v>
      </c>
      <c r="AC189" s="68">
        <f t="shared" si="3"/>
        <v>0</v>
      </c>
      <c r="AD189" s="68">
        <f t="shared" si="4"/>
        <v>0</v>
      </c>
      <c r="AE189" s="69">
        <f t="shared" si="5"/>
        <v>0</v>
      </c>
      <c r="AF189" s="68">
        <f>IF(ISERROR(VLOOKUP(F189,Фрезеровки!$B$3:$E$144,4,0)),0,VLOOKUP(F189,Фрезеровки!$B$3:$E$144,4,0))</f>
        <v>0</v>
      </c>
    </row>
    <row r="190" spans="1:32" s="50" customFormat="1" ht="15" customHeight="1" x14ac:dyDescent="0.2">
      <c r="A190" s="11">
        <v>11</v>
      </c>
      <c r="B190" s="23"/>
      <c r="C190" s="24"/>
      <c r="D190" s="24"/>
      <c r="E190" s="90"/>
      <c r="F190" s="91"/>
      <c r="G190" s="106"/>
      <c r="H190" s="93"/>
      <c r="I190" s="94"/>
      <c r="J190" s="28"/>
      <c r="K190" s="50" t="str">
        <f t="shared" si="1"/>
        <v/>
      </c>
      <c r="L190" s="83">
        <f t="shared" si="2"/>
        <v>0</v>
      </c>
      <c r="M190" s="80"/>
      <c r="N190" s="80"/>
      <c r="O190" s="80"/>
      <c r="P190" s="80"/>
      <c r="Q190" s="80"/>
      <c r="R190" s="80"/>
      <c r="S190" s="80"/>
      <c r="T190" s="80"/>
      <c r="U190" s="80"/>
      <c r="V190" s="80"/>
      <c r="W190" s="80"/>
      <c r="X190" s="80"/>
      <c r="Z190" s="68">
        <f>IF($E$179=0,0,HLOOKUP($E$179,Краски!$A$10:$N$47,$F$176+1,0))</f>
        <v>0</v>
      </c>
      <c r="AA190" s="68">
        <f>VLOOKUP($A$176,Патина!$A$2:$C$18,3,0)</f>
        <v>0</v>
      </c>
      <c r="AB190" s="68">
        <f>IF(SUM(B190:D190)&gt;0,VLOOKUP(F190,Фрезеровки!$B$3:$D$144,3,0),0)</f>
        <v>0</v>
      </c>
      <c r="AC190" s="68">
        <f t="shared" si="3"/>
        <v>0</v>
      </c>
      <c r="AD190" s="68">
        <f t="shared" si="4"/>
        <v>0</v>
      </c>
      <c r="AE190" s="69">
        <f t="shared" si="5"/>
        <v>0</v>
      </c>
      <c r="AF190" s="68">
        <f>IF(ISERROR(VLOOKUP(F190,Фрезеровки!$B$3:$E$144,4,0)),0,VLOOKUP(F190,Фрезеровки!$B$3:$E$144,4,0))</f>
        <v>0</v>
      </c>
    </row>
    <row r="191" spans="1:32" s="50" customFormat="1" ht="15" customHeight="1" x14ac:dyDescent="0.2">
      <c r="A191" s="11">
        <v>12</v>
      </c>
      <c r="B191" s="23"/>
      <c r="C191" s="24"/>
      <c r="D191" s="24"/>
      <c r="E191" s="90"/>
      <c r="F191" s="91"/>
      <c r="G191" s="106"/>
      <c r="H191" s="93"/>
      <c r="I191" s="94"/>
      <c r="J191" s="28"/>
      <c r="K191" s="50" t="str">
        <f t="shared" si="1"/>
        <v/>
      </c>
      <c r="L191" s="83">
        <f t="shared" si="2"/>
        <v>0</v>
      </c>
      <c r="M191" s="80"/>
      <c r="N191" s="80"/>
      <c r="O191" s="80"/>
      <c r="P191" s="80"/>
      <c r="Q191" s="80"/>
      <c r="R191" s="80"/>
      <c r="S191" s="80"/>
      <c r="T191" s="80"/>
      <c r="U191" s="80"/>
      <c r="V191" s="80"/>
      <c r="W191" s="80"/>
      <c r="X191" s="80"/>
      <c r="Z191" s="68">
        <f>IF($E$179=0,0,HLOOKUP($E$179,Краски!$A$10:$N$47,$F$176+1,0))</f>
        <v>0</v>
      </c>
      <c r="AA191" s="68">
        <f>VLOOKUP($A$176,Патина!$A$2:$C$18,3,0)</f>
        <v>0</v>
      </c>
      <c r="AB191" s="68">
        <f>IF(SUM(B191:D191)&gt;0,VLOOKUP(F191,Фрезеровки!$B$3:$D$144,3,0),0)</f>
        <v>0</v>
      </c>
      <c r="AC191" s="68">
        <f t="shared" si="3"/>
        <v>0</v>
      </c>
      <c r="AD191" s="68">
        <f t="shared" si="4"/>
        <v>0</v>
      </c>
      <c r="AE191" s="69">
        <f t="shared" si="5"/>
        <v>0</v>
      </c>
      <c r="AF191" s="68">
        <f>IF(ISERROR(VLOOKUP(F191,Фрезеровки!$B$3:$E$144,4,0)),0,VLOOKUP(F191,Фрезеровки!$B$3:$E$144,4,0))</f>
        <v>0</v>
      </c>
    </row>
    <row r="192" spans="1:32" s="50" customFormat="1" ht="15" customHeight="1" x14ac:dyDescent="0.2">
      <c r="A192" s="11">
        <v>13</v>
      </c>
      <c r="B192" s="23"/>
      <c r="C192" s="24"/>
      <c r="D192" s="24"/>
      <c r="E192" s="90"/>
      <c r="F192" s="91"/>
      <c r="G192" s="106"/>
      <c r="H192" s="93"/>
      <c r="I192" s="94"/>
      <c r="J192" s="28"/>
      <c r="K192" s="50" t="str">
        <f t="shared" si="1"/>
        <v/>
      </c>
      <c r="L192" s="83">
        <f t="shared" si="2"/>
        <v>0</v>
      </c>
      <c r="M192" s="80"/>
      <c r="N192" s="80"/>
      <c r="O192" s="80"/>
      <c r="P192" s="80"/>
      <c r="Q192" s="80"/>
      <c r="R192" s="80"/>
      <c r="S192" s="80"/>
      <c r="T192" s="80"/>
      <c r="U192" s="80"/>
      <c r="V192" s="80"/>
      <c r="W192" s="80"/>
      <c r="X192" s="80"/>
      <c r="Z192" s="68">
        <f>IF($E$179=0,0,HLOOKUP($E$179,Краски!$A$10:$N$47,$F$176+1,0))</f>
        <v>0</v>
      </c>
      <c r="AA192" s="68">
        <f>VLOOKUP($A$176,Патина!$A$2:$C$18,3,0)</f>
        <v>0</v>
      </c>
      <c r="AB192" s="68">
        <f>IF(SUM(B192:D192)&gt;0,VLOOKUP(F192,Фрезеровки!$B$3:$D$144,3,0),0)</f>
        <v>0</v>
      </c>
      <c r="AC192" s="68">
        <f t="shared" si="3"/>
        <v>0</v>
      </c>
      <c r="AD192" s="68">
        <f t="shared" si="4"/>
        <v>0</v>
      </c>
      <c r="AE192" s="69">
        <f t="shared" si="5"/>
        <v>0</v>
      </c>
      <c r="AF192" s="68">
        <f>IF(ISERROR(VLOOKUP(F192,Фрезеровки!$B$3:$E$144,4,0)),0,VLOOKUP(F192,Фрезеровки!$B$3:$E$144,4,0))</f>
        <v>0</v>
      </c>
    </row>
    <row r="193" spans="1:32" s="50" customFormat="1" ht="15" customHeight="1" x14ac:dyDescent="0.2">
      <c r="A193" s="11">
        <v>14</v>
      </c>
      <c r="B193" s="23"/>
      <c r="C193" s="24"/>
      <c r="D193" s="24"/>
      <c r="E193" s="90"/>
      <c r="F193" s="91"/>
      <c r="G193" s="106"/>
      <c r="H193" s="93"/>
      <c r="I193" s="94"/>
      <c r="J193" s="28"/>
      <c r="K193" s="50" t="str">
        <f t="shared" si="1"/>
        <v/>
      </c>
      <c r="L193" s="83">
        <f t="shared" si="2"/>
        <v>0</v>
      </c>
      <c r="M193" s="80"/>
      <c r="N193" s="80"/>
      <c r="O193" s="80"/>
      <c r="P193" s="80"/>
      <c r="Q193" s="80"/>
      <c r="R193" s="80"/>
      <c r="S193" s="80"/>
      <c r="T193" s="80"/>
      <c r="U193" s="80"/>
      <c r="V193" s="80"/>
      <c r="W193" s="80"/>
      <c r="X193" s="80"/>
      <c r="Z193" s="68">
        <f>IF($E$179=0,0,HLOOKUP($E$179,Краски!$A$10:$N$47,$F$176+1,0))</f>
        <v>0</v>
      </c>
      <c r="AA193" s="68">
        <f>VLOOKUP($A$176,Патина!$A$2:$C$18,3,0)</f>
        <v>0</v>
      </c>
      <c r="AB193" s="68">
        <f>IF(SUM(B193:D193)&gt;0,VLOOKUP(F193,Фрезеровки!$B$3:$D$144,3,0),0)</f>
        <v>0</v>
      </c>
      <c r="AC193" s="68">
        <f t="shared" si="3"/>
        <v>0</v>
      </c>
      <c r="AD193" s="68">
        <f t="shared" si="4"/>
        <v>0</v>
      </c>
      <c r="AE193" s="69">
        <f t="shared" si="5"/>
        <v>0</v>
      </c>
      <c r="AF193" s="68">
        <f>IF(ISERROR(VLOOKUP(F193,Фрезеровки!$B$3:$E$144,4,0)),0,VLOOKUP(F193,Фрезеровки!$B$3:$E$144,4,0))</f>
        <v>0</v>
      </c>
    </row>
    <row r="194" spans="1:32" s="50" customFormat="1" ht="15" customHeight="1" x14ac:dyDescent="0.2">
      <c r="A194" s="11">
        <v>15</v>
      </c>
      <c r="B194" s="23"/>
      <c r="C194" s="24"/>
      <c r="D194" s="24"/>
      <c r="E194" s="90"/>
      <c r="F194" s="91"/>
      <c r="G194" s="106"/>
      <c r="H194" s="93"/>
      <c r="I194" s="94"/>
      <c r="J194" s="28"/>
      <c r="K194" s="50" t="str">
        <f t="shared" si="1"/>
        <v/>
      </c>
      <c r="L194" s="83">
        <f t="shared" si="2"/>
        <v>0</v>
      </c>
      <c r="M194" s="80"/>
      <c r="N194" s="80"/>
      <c r="O194" s="80"/>
      <c r="P194" s="80"/>
      <c r="Q194" s="80"/>
      <c r="R194" s="80"/>
      <c r="S194" s="80"/>
      <c r="T194" s="80"/>
      <c r="U194" s="80"/>
      <c r="V194" s="80"/>
      <c r="W194" s="80"/>
      <c r="X194" s="80"/>
      <c r="Z194" s="68">
        <f>IF($E$179=0,0,HLOOKUP($E$179,Краски!$A$10:$N$47,$F$176+1,0))</f>
        <v>0</v>
      </c>
      <c r="AA194" s="68">
        <f>VLOOKUP($A$176,Патина!$A$2:$C$18,3,0)</f>
        <v>0</v>
      </c>
      <c r="AB194" s="68">
        <f>IF(SUM(B194:D194)&gt;0,VLOOKUP(F194,Фрезеровки!$B$3:$D$144,3,0),0)</f>
        <v>0</v>
      </c>
      <c r="AC194" s="68">
        <f t="shared" si="3"/>
        <v>0</v>
      </c>
      <c r="AD194" s="68">
        <f t="shared" si="4"/>
        <v>0</v>
      </c>
      <c r="AE194" s="69">
        <f t="shared" si="5"/>
        <v>0</v>
      </c>
      <c r="AF194" s="68">
        <f>IF(ISERROR(VLOOKUP(F194,Фрезеровки!$B$3:$E$144,4,0)),0,VLOOKUP(F194,Фрезеровки!$B$3:$E$144,4,0))</f>
        <v>0</v>
      </c>
    </row>
    <row r="195" spans="1:32" s="50" customFormat="1" ht="15" customHeight="1" x14ac:dyDescent="0.2">
      <c r="A195" s="11">
        <v>16</v>
      </c>
      <c r="B195" s="23"/>
      <c r="C195" s="24"/>
      <c r="D195" s="24"/>
      <c r="E195" s="90"/>
      <c r="F195" s="91"/>
      <c r="G195" s="106"/>
      <c r="H195" s="93"/>
      <c r="I195" s="94"/>
      <c r="J195" s="28"/>
      <c r="K195" s="50" t="str">
        <f t="shared" si="1"/>
        <v/>
      </c>
      <c r="L195" s="83">
        <f t="shared" si="2"/>
        <v>0</v>
      </c>
      <c r="M195" s="80"/>
      <c r="N195" s="80"/>
      <c r="O195" s="80"/>
      <c r="P195" s="80"/>
      <c r="Q195" s="80"/>
      <c r="R195" s="80"/>
      <c r="S195" s="80"/>
      <c r="T195" s="80"/>
      <c r="U195" s="80"/>
      <c r="V195" s="80"/>
      <c r="W195" s="80"/>
      <c r="X195" s="80"/>
      <c r="Z195" s="68">
        <f>IF($E$179=0,0,HLOOKUP($E$179,Краски!$A$10:$N$47,$F$176+1,0))</f>
        <v>0</v>
      </c>
      <c r="AA195" s="68">
        <f>VLOOKUP($A$176,Патина!$A$2:$C$18,3,0)</f>
        <v>0</v>
      </c>
      <c r="AB195" s="68">
        <f>IF(SUM(B195:D195)&gt;0,VLOOKUP(F195,Фрезеровки!$B$3:$D$144,3,0),0)</f>
        <v>0</v>
      </c>
      <c r="AC195" s="68">
        <f t="shared" si="3"/>
        <v>0</v>
      </c>
      <c r="AD195" s="68">
        <f t="shared" si="4"/>
        <v>0</v>
      </c>
      <c r="AE195" s="69">
        <f t="shared" si="5"/>
        <v>0</v>
      </c>
      <c r="AF195" s="68">
        <f>IF(ISERROR(VLOOKUP(F195,Фрезеровки!$B$3:$E$144,4,0)),0,VLOOKUP(F195,Фрезеровки!$B$3:$E$144,4,0))</f>
        <v>0</v>
      </c>
    </row>
    <row r="196" spans="1:32" s="50" customFormat="1" ht="15" customHeight="1" x14ac:dyDescent="0.2">
      <c r="A196" s="11">
        <v>17</v>
      </c>
      <c r="B196" s="23"/>
      <c r="C196" s="24"/>
      <c r="D196" s="24"/>
      <c r="E196" s="90"/>
      <c r="F196" s="91"/>
      <c r="G196" s="106"/>
      <c r="H196" s="93"/>
      <c r="I196" s="94"/>
      <c r="J196" s="28"/>
      <c r="K196" s="50" t="str">
        <f t="shared" si="1"/>
        <v/>
      </c>
      <c r="L196" s="83">
        <f t="shared" si="2"/>
        <v>0</v>
      </c>
      <c r="M196" s="80"/>
      <c r="N196" s="80"/>
      <c r="O196" s="80"/>
      <c r="P196" s="80"/>
      <c r="Q196" s="80"/>
      <c r="R196" s="80"/>
      <c r="S196" s="80"/>
      <c r="T196" s="80"/>
      <c r="U196" s="80"/>
      <c r="V196" s="80"/>
      <c r="W196" s="80"/>
      <c r="X196" s="80"/>
      <c r="Z196" s="68">
        <f>IF($E$179=0,0,HLOOKUP($E$179,Краски!$A$10:$N$47,$F$176+1,0))</f>
        <v>0</v>
      </c>
      <c r="AA196" s="68">
        <f>VLOOKUP($A$176,Патина!$A$2:$C$18,3,0)</f>
        <v>0</v>
      </c>
      <c r="AB196" s="68">
        <f>IF(SUM(B196:D196)&gt;0,VLOOKUP(F196,Фрезеровки!$B$3:$D$144,3,0),0)</f>
        <v>0</v>
      </c>
      <c r="AC196" s="68">
        <f t="shared" si="3"/>
        <v>0</v>
      </c>
      <c r="AD196" s="68">
        <f t="shared" si="4"/>
        <v>0</v>
      </c>
      <c r="AE196" s="69">
        <f t="shared" si="5"/>
        <v>0</v>
      </c>
      <c r="AF196" s="68">
        <f>IF(ISERROR(VLOOKUP(F196,Фрезеровки!$B$3:$E$144,4,0)),0,VLOOKUP(F196,Фрезеровки!$B$3:$E$144,4,0))</f>
        <v>0</v>
      </c>
    </row>
    <row r="197" spans="1:32" s="50" customFormat="1" ht="15" customHeight="1" x14ac:dyDescent="0.2">
      <c r="A197" s="11">
        <v>18</v>
      </c>
      <c r="B197" s="23"/>
      <c r="C197" s="24"/>
      <c r="D197" s="24"/>
      <c r="E197" s="90"/>
      <c r="F197" s="91"/>
      <c r="G197" s="106"/>
      <c r="H197" s="93"/>
      <c r="I197" s="94"/>
      <c r="J197" s="28"/>
      <c r="K197" s="50" t="str">
        <f t="shared" si="1"/>
        <v/>
      </c>
      <c r="L197" s="83">
        <f t="shared" si="2"/>
        <v>0</v>
      </c>
      <c r="M197" s="80"/>
      <c r="N197" s="80"/>
      <c r="O197" s="80"/>
      <c r="P197" s="80"/>
      <c r="Q197" s="80"/>
      <c r="R197" s="80"/>
      <c r="S197" s="80"/>
      <c r="T197" s="80"/>
      <c r="U197" s="80"/>
      <c r="V197" s="80"/>
      <c r="W197" s="80"/>
      <c r="X197" s="80"/>
      <c r="Z197" s="68">
        <f>IF($E$179=0,0,HLOOKUP($E$179,Краски!$A$10:$N$47,$F$176+1,0))</f>
        <v>0</v>
      </c>
      <c r="AA197" s="68">
        <f>VLOOKUP($A$176,Патина!$A$2:$C$18,3,0)</f>
        <v>0</v>
      </c>
      <c r="AB197" s="68">
        <f>IF(SUM(B197:D197)&gt;0,VLOOKUP(F197,Фрезеровки!$B$3:$D$144,3,0),0)</f>
        <v>0</v>
      </c>
      <c r="AC197" s="68">
        <f t="shared" si="3"/>
        <v>0</v>
      </c>
      <c r="AD197" s="68">
        <f t="shared" si="4"/>
        <v>0</v>
      </c>
      <c r="AE197" s="69">
        <f t="shared" si="5"/>
        <v>0</v>
      </c>
      <c r="AF197" s="68">
        <f>IF(ISERROR(VLOOKUP(F197,Фрезеровки!$B$3:$E$144,4,0)),0,VLOOKUP(F197,Фрезеровки!$B$3:$E$144,4,0))</f>
        <v>0</v>
      </c>
    </row>
    <row r="198" spans="1:32" s="50" customFormat="1" ht="15" customHeight="1" x14ac:dyDescent="0.2">
      <c r="A198" s="11">
        <v>19</v>
      </c>
      <c r="B198" s="23"/>
      <c r="C198" s="24"/>
      <c r="D198" s="24"/>
      <c r="E198" s="90"/>
      <c r="F198" s="91"/>
      <c r="G198" s="106"/>
      <c r="H198" s="93"/>
      <c r="I198" s="94"/>
      <c r="J198" s="28"/>
      <c r="K198" s="50" t="str">
        <f t="shared" si="1"/>
        <v/>
      </c>
      <c r="L198" s="83">
        <f t="shared" si="2"/>
        <v>0</v>
      </c>
      <c r="M198" s="80"/>
      <c r="N198" s="80"/>
      <c r="O198" s="80"/>
      <c r="P198" s="80"/>
      <c r="Q198" s="80"/>
      <c r="R198" s="80"/>
      <c r="S198" s="80"/>
      <c r="T198" s="80"/>
      <c r="U198" s="80"/>
      <c r="V198" s="80"/>
      <c r="W198" s="80"/>
      <c r="X198" s="80"/>
      <c r="Z198" s="68">
        <f>IF($E$179=0,0,HLOOKUP($E$179,Краски!$A$10:$N$47,$F$176+1,0))</f>
        <v>0</v>
      </c>
      <c r="AA198" s="68">
        <f>VLOOKUP($A$176,Патина!$A$2:$C$18,3,0)</f>
        <v>0</v>
      </c>
      <c r="AB198" s="68">
        <f>IF(SUM(B198:D198)&gt;0,VLOOKUP(F198,Фрезеровки!$B$3:$D$144,3,0),0)</f>
        <v>0</v>
      </c>
      <c r="AC198" s="68">
        <f t="shared" si="3"/>
        <v>0</v>
      </c>
      <c r="AD198" s="68">
        <f t="shared" si="4"/>
        <v>0</v>
      </c>
      <c r="AE198" s="69">
        <f t="shared" si="5"/>
        <v>0</v>
      </c>
      <c r="AF198" s="68">
        <f>IF(ISERROR(VLOOKUP(F198,Фрезеровки!$B$3:$E$144,4,0)),0,VLOOKUP(F198,Фрезеровки!$B$3:$E$144,4,0))</f>
        <v>0</v>
      </c>
    </row>
    <row r="199" spans="1:32" s="50" customFormat="1" ht="15" customHeight="1" x14ac:dyDescent="0.2">
      <c r="A199" s="11">
        <v>20</v>
      </c>
      <c r="B199" s="23"/>
      <c r="C199" s="24"/>
      <c r="D199" s="24"/>
      <c r="E199" s="90"/>
      <c r="F199" s="91"/>
      <c r="G199" s="106"/>
      <c r="H199" s="93"/>
      <c r="I199" s="94"/>
      <c r="J199" s="28"/>
      <c r="K199" s="50" t="str">
        <f t="shared" si="1"/>
        <v/>
      </c>
      <c r="L199" s="83">
        <f t="shared" si="2"/>
        <v>0</v>
      </c>
      <c r="M199" s="80"/>
      <c r="N199" s="80"/>
      <c r="O199" s="80"/>
      <c r="P199" s="80"/>
      <c r="Q199" s="80"/>
      <c r="R199" s="80"/>
      <c r="S199" s="80"/>
      <c r="T199" s="80"/>
      <c r="U199" s="80"/>
      <c r="V199" s="80"/>
      <c r="W199" s="80"/>
      <c r="X199" s="80"/>
      <c r="Z199" s="68">
        <f>IF($E$179=0,0,HLOOKUP($E$179,Краски!$A$10:$N$47,$F$176+1,0))</f>
        <v>0</v>
      </c>
      <c r="AA199" s="68">
        <f>VLOOKUP($A$176,Патина!$A$2:$C$18,3,0)</f>
        <v>0</v>
      </c>
      <c r="AB199" s="68">
        <f>IF(SUM(B199:D199)&gt;0,VLOOKUP(F199,Фрезеровки!$B$3:$D$144,3,0),0)</f>
        <v>0</v>
      </c>
      <c r="AC199" s="68">
        <f t="shared" si="3"/>
        <v>0</v>
      </c>
      <c r="AD199" s="68">
        <f t="shared" si="4"/>
        <v>0</v>
      </c>
      <c r="AE199" s="69">
        <f t="shared" si="5"/>
        <v>0</v>
      </c>
      <c r="AF199" s="68">
        <f>IF(ISERROR(VLOOKUP(F199,Фрезеровки!$B$3:$E$144,4,0)),0,VLOOKUP(F199,Фрезеровки!$B$3:$E$144,4,0))</f>
        <v>0</v>
      </c>
    </row>
    <row r="200" spans="1:32" s="50" customFormat="1" ht="15" customHeight="1" x14ac:dyDescent="0.2">
      <c r="A200" s="11">
        <v>21</v>
      </c>
      <c r="B200" s="23"/>
      <c r="C200" s="24"/>
      <c r="D200" s="24"/>
      <c r="E200" s="90"/>
      <c r="F200" s="91"/>
      <c r="G200" s="106"/>
      <c r="H200" s="93"/>
      <c r="I200" s="94"/>
      <c r="J200" s="28"/>
      <c r="K200" s="50" t="str">
        <f t="shared" si="1"/>
        <v/>
      </c>
      <c r="L200" s="83">
        <f t="shared" si="2"/>
        <v>0</v>
      </c>
      <c r="M200" s="80"/>
      <c r="N200" s="80"/>
      <c r="O200" s="80"/>
      <c r="P200" s="80"/>
      <c r="Q200" s="80"/>
      <c r="R200" s="80"/>
      <c r="S200" s="80"/>
      <c r="T200" s="80"/>
      <c r="U200" s="80"/>
      <c r="V200" s="80"/>
      <c r="W200" s="80"/>
      <c r="X200" s="80"/>
      <c r="Z200" s="68">
        <f>IF($E$179=0,0,HLOOKUP($E$179,Краски!$A$10:$N$47,$F$176+1,0))</f>
        <v>0</v>
      </c>
      <c r="AA200" s="68">
        <f>VLOOKUP($A$176,Патина!$A$2:$C$18,3,0)</f>
        <v>0</v>
      </c>
      <c r="AB200" s="68">
        <f>IF(SUM(B200:D200)&gt;0,VLOOKUP(F200,Фрезеровки!$B$3:$D$144,3,0),0)</f>
        <v>0</v>
      </c>
      <c r="AC200" s="68">
        <f t="shared" si="3"/>
        <v>0</v>
      </c>
      <c r="AD200" s="68">
        <f t="shared" si="4"/>
        <v>0</v>
      </c>
      <c r="AE200" s="69">
        <f t="shared" si="5"/>
        <v>0</v>
      </c>
      <c r="AF200" s="68">
        <f>IF(ISERROR(VLOOKUP(F200,Фрезеровки!$B$3:$E$144,4,0)),0,VLOOKUP(F200,Фрезеровки!$B$3:$E$144,4,0))</f>
        <v>0</v>
      </c>
    </row>
    <row r="201" spans="1:32" s="50" customFormat="1" ht="15" customHeight="1" x14ac:dyDescent="0.2">
      <c r="A201" s="11">
        <v>22</v>
      </c>
      <c r="B201" s="23"/>
      <c r="C201" s="24"/>
      <c r="D201" s="24"/>
      <c r="E201" s="90"/>
      <c r="F201" s="91"/>
      <c r="G201" s="106"/>
      <c r="H201" s="93"/>
      <c r="I201" s="94"/>
      <c r="J201" s="28"/>
      <c r="K201" s="50" t="str">
        <f t="shared" si="1"/>
        <v/>
      </c>
      <c r="L201" s="83">
        <f t="shared" si="2"/>
        <v>0</v>
      </c>
      <c r="M201" s="80"/>
      <c r="N201" s="80"/>
      <c r="O201" s="80"/>
      <c r="P201" s="80"/>
      <c r="Q201" s="80"/>
      <c r="R201" s="80"/>
      <c r="S201" s="80"/>
      <c r="T201" s="80"/>
      <c r="U201" s="80"/>
      <c r="V201" s="80"/>
      <c r="W201" s="80"/>
      <c r="X201" s="80"/>
      <c r="Z201" s="68">
        <f>IF($E$179=0,0,HLOOKUP($E$179,Краски!$A$10:$N$47,$F$176+1,0))</f>
        <v>0</v>
      </c>
      <c r="AA201" s="68">
        <f>VLOOKUP($A$176,Патина!$A$2:$C$18,3,0)</f>
        <v>0</v>
      </c>
      <c r="AB201" s="68">
        <f>IF(SUM(B201:D201)&gt;0,VLOOKUP(F201,Фрезеровки!$B$3:$D$144,3,0),0)</f>
        <v>0</v>
      </c>
      <c r="AC201" s="68">
        <f t="shared" si="3"/>
        <v>0</v>
      </c>
      <c r="AD201" s="68">
        <f t="shared" si="4"/>
        <v>0</v>
      </c>
      <c r="AE201" s="69">
        <f t="shared" si="5"/>
        <v>0</v>
      </c>
      <c r="AF201" s="68">
        <f>IF(ISERROR(VLOOKUP(F201,Фрезеровки!$B$3:$E$144,4,0)),0,VLOOKUP(F201,Фрезеровки!$B$3:$E$144,4,0))</f>
        <v>0</v>
      </c>
    </row>
    <row r="202" spans="1:32" s="50" customFormat="1" ht="15" customHeight="1" x14ac:dyDescent="0.2">
      <c r="A202" s="11">
        <v>23</v>
      </c>
      <c r="B202" s="23"/>
      <c r="C202" s="24"/>
      <c r="D202" s="24"/>
      <c r="E202" s="90"/>
      <c r="F202" s="91"/>
      <c r="G202" s="106"/>
      <c r="H202" s="93"/>
      <c r="I202" s="94"/>
      <c r="J202" s="28"/>
      <c r="K202" s="50" t="str">
        <f t="shared" si="1"/>
        <v/>
      </c>
      <c r="L202" s="83">
        <f t="shared" si="2"/>
        <v>0</v>
      </c>
      <c r="M202" s="80"/>
      <c r="N202" s="80"/>
      <c r="O202" s="80"/>
      <c r="P202" s="80"/>
      <c r="Q202" s="80"/>
      <c r="R202" s="80"/>
      <c r="S202" s="80"/>
      <c r="T202" s="80"/>
      <c r="U202" s="80"/>
      <c r="V202" s="80"/>
      <c r="W202" s="80"/>
      <c r="X202" s="80"/>
      <c r="Z202" s="68">
        <f>IF($E$179=0,0,HLOOKUP($E$179,Краски!$A$10:$N$47,$F$176+1,0))</f>
        <v>0</v>
      </c>
      <c r="AA202" s="68">
        <f>VLOOKUP($A$176,Патина!$A$2:$C$18,3,0)</f>
        <v>0</v>
      </c>
      <c r="AB202" s="68">
        <f>IF(SUM(B202:D202)&gt;0,VLOOKUP(F202,Фрезеровки!$B$3:$D$144,3,0),0)</f>
        <v>0</v>
      </c>
      <c r="AC202" s="68">
        <f t="shared" si="3"/>
        <v>0</v>
      </c>
      <c r="AD202" s="68">
        <f t="shared" si="4"/>
        <v>0</v>
      </c>
      <c r="AE202" s="69">
        <f t="shared" si="5"/>
        <v>0</v>
      </c>
      <c r="AF202" s="68">
        <f>IF(ISERROR(VLOOKUP(F202,Фрезеровки!$B$3:$E$144,4,0)),0,VLOOKUP(F202,Фрезеровки!$B$3:$E$144,4,0))</f>
        <v>0</v>
      </c>
    </row>
    <row r="203" spans="1:32" s="50" customFormat="1" ht="15" customHeight="1" x14ac:dyDescent="0.2">
      <c r="A203" s="11">
        <v>24</v>
      </c>
      <c r="B203" s="23"/>
      <c r="C203" s="24"/>
      <c r="D203" s="24"/>
      <c r="E203" s="90"/>
      <c r="F203" s="91"/>
      <c r="G203" s="106"/>
      <c r="H203" s="93"/>
      <c r="I203" s="94"/>
      <c r="J203" s="28"/>
      <c r="K203" s="50" t="str">
        <f t="shared" si="1"/>
        <v/>
      </c>
      <c r="L203" s="83">
        <f t="shared" si="2"/>
        <v>0</v>
      </c>
      <c r="M203" s="80"/>
      <c r="N203" s="80"/>
      <c r="O203" s="80"/>
      <c r="P203" s="80"/>
      <c r="Q203" s="80"/>
      <c r="R203" s="80"/>
      <c r="S203" s="80"/>
      <c r="T203" s="80"/>
      <c r="U203" s="80"/>
      <c r="V203" s="80"/>
      <c r="W203" s="80"/>
      <c r="X203" s="80"/>
      <c r="Z203" s="68">
        <f>IF($E$179=0,0,HLOOKUP($E$179,Краски!$A$10:$N$47,$F$176+1,0))</f>
        <v>0</v>
      </c>
      <c r="AA203" s="68">
        <f>VLOOKUP($A$176,Патина!$A$2:$C$18,3,0)</f>
        <v>0</v>
      </c>
      <c r="AB203" s="68">
        <f>IF(SUM(B203:D203)&gt;0,VLOOKUP(F203,Фрезеровки!$B$3:$D$144,3,0),0)</f>
        <v>0</v>
      </c>
      <c r="AC203" s="68">
        <f t="shared" si="3"/>
        <v>0</v>
      </c>
      <c r="AD203" s="68">
        <f t="shared" si="4"/>
        <v>0</v>
      </c>
      <c r="AE203" s="69">
        <f t="shared" si="5"/>
        <v>0</v>
      </c>
      <c r="AF203" s="68">
        <f>IF(ISERROR(VLOOKUP(F203,Фрезеровки!$B$3:$E$144,4,0)),0,VLOOKUP(F203,Фрезеровки!$B$3:$E$144,4,0))</f>
        <v>0</v>
      </c>
    </row>
    <row r="204" spans="1:32" s="50" customFormat="1" ht="15" customHeight="1" x14ac:dyDescent="0.2">
      <c r="A204" s="11">
        <v>25</v>
      </c>
      <c r="B204" s="23"/>
      <c r="C204" s="24"/>
      <c r="D204" s="24"/>
      <c r="E204" s="90"/>
      <c r="F204" s="91"/>
      <c r="G204" s="106"/>
      <c r="H204" s="93"/>
      <c r="I204" s="94"/>
      <c r="J204" s="28"/>
      <c r="K204" s="50" t="str">
        <f t="shared" si="1"/>
        <v/>
      </c>
      <c r="L204" s="83">
        <f t="shared" si="2"/>
        <v>0</v>
      </c>
      <c r="M204" s="80"/>
      <c r="N204" s="80"/>
      <c r="O204" s="80"/>
      <c r="P204" s="80"/>
      <c r="Q204" s="80"/>
      <c r="R204" s="80"/>
      <c r="S204" s="80"/>
      <c r="T204" s="80"/>
      <c r="U204" s="80"/>
      <c r="V204" s="80"/>
      <c r="W204" s="80"/>
      <c r="X204" s="80"/>
      <c r="Z204" s="68">
        <f>IF($E$179=0,0,HLOOKUP($E$179,Краски!$A$10:$N$47,$F$176+1,0))</f>
        <v>0</v>
      </c>
      <c r="AA204" s="68">
        <f>VLOOKUP($A$176,Патина!$A$2:$C$18,3,0)</f>
        <v>0</v>
      </c>
      <c r="AB204" s="68">
        <f>IF(SUM(B204:D204)&gt;0,VLOOKUP(F204,Фрезеровки!$B$3:$D$144,3,0),0)</f>
        <v>0</v>
      </c>
      <c r="AC204" s="68">
        <f t="shared" si="3"/>
        <v>0</v>
      </c>
      <c r="AD204" s="68">
        <f t="shared" si="4"/>
        <v>0</v>
      </c>
      <c r="AE204" s="69">
        <f t="shared" si="5"/>
        <v>0</v>
      </c>
      <c r="AF204" s="68">
        <f>IF(ISERROR(VLOOKUP(F204,Фрезеровки!$B$3:$E$144,4,0)),0,VLOOKUP(F204,Фрезеровки!$B$3:$E$144,4,0))</f>
        <v>0</v>
      </c>
    </row>
    <row r="205" spans="1:32" s="50" customFormat="1" ht="15" customHeight="1" x14ac:dyDescent="0.2">
      <c r="A205" s="11">
        <v>26</v>
      </c>
      <c r="B205" s="23"/>
      <c r="C205" s="24"/>
      <c r="D205" s="24"/>
      <c r="E205" s="90"/>
      <c r="F205" s="91"/>
      <c r="G205" s="106"/>
      <c r="H205" s="93"/>
      <c r="I205" s="94"/>
      <c r="J205" s="28"/>
      <c r="K205" s="50" t="str">
        <f t="shared" si="1"/>
        <v/>
      </c>
      <c r="L205" s="83">
        <f t="shared" si="2"/>
        <v>0</v>
      </c>
      <c r="M205" s="80"/>
      <c r="N205" s="80"/>
      <c r="O205" s="80"/>
      <c r="P205" s="80"/>
      <c r="Q205" s="80"/>
      <c r="R205" s="80"/>
      <c r="S205" s="80"/>
      <c r="T205" s="80"/>
      <c r="U205" s="80"/>
      <c r="V205" s="80"/>
      <c r="W205" s="80"/>
      <c r="X205" s="80"/>
      <c r="Z205" s="68">
        <f>IF($E$179=0,0,HLOOKUP($E$179,Краски!$A$10:$N$47,$F$176+1,0))</f>
        <v>0</v>
      </c>
      <c r="AA205" s="68">
        <f>VLOOKUP($A$176,Патина!$A$2:$C$18,3,0)</f>
        <v>0</v>
      </c>
      <c r="AB205" s="68">
        <f>IF(SUM(B205:D205)&gt;0,VLOOKUP(F205,Фрезеровки!$B$3:$D$144,3,0),0)</f>
        <v>0</v>
      </c>
      <c r="AC205" s="68">
        <f t="shared" si="3"/>
        <v>0</v>
      </c>
      <c r="AD205" s="68">
        <f t="shared" si="4"/>
        <v>0</v>
      </c>
      <c r="AE205" s="69">
        <f t="shared" si="5"/>
        <v>0</v>
      </c>
      <c r="AF205" s="68">
        <f>IF(ISERROR(VLOOKUP(F205,Фрезеровки!$B$3:$E$144,4,0)),0,VLOOKUP(F205,Фрезеровки!$B$3:$E$144,4,0))</f>
        <v>0</v>
      </c>
    </row>
    <row r="206" spans="1:32" s="50" customFormat="1" ht="15" customHeight="1" x14ac:dyDescent="0.2">
      <c r="A206" s="11">
        <v>27</v>
      </c>
      <c r="B206" s="23"/>
      <c r="C206" s="24"/>
      <c r="D206" s="24"/>
      <c r="E206" s="90"/>
      <c r="F206" s="91"/>
      <c r="G206" s="106"/>
      <c r="H206" s="93"/>
      <c r="I206" s="94"/>
      <c r="J206" s="28"/>
      <c r="K206" s="50" t="str">
        <f t="shared" si="1"/>
        <v/>
      </c>
      <c r="L206" s="83">
        <f t="shared" si="2"/>
        <v>0</v>
      </c>
      <c r="M206" s="80"/>
      <c r="N206" s="80"/>
      <c r="O206" s="80"/>
      <c r="P206" s="80"/>
      <c r="Q206" s="80"/>
      <c r="R206" s="80"/>
      <c r="S206" s="80"/>
      <c r="T206" s="80"/>
      <c r="U206" s="80"/>
      <c r="V206" s="80"/>
      <c r="W206" s="80"/>
      <c r="X206" s="80"/>
      <c r="Z206" s="68">
        <f>IF($E$179=0,0,HLOOKUP($E$179,Краски!$A$10:$N$47,$F$176+1,0))</f>
        <v>0</v>
      </c>
      <c r="AA206" s="68">
        <f>VLOOKUP($A$176,Патина!$A$2:$C$18,3,0)</f>
        <v>0</v>
      </c>
      <c r="AB206" s="68">
        <f>IF(SUM(B206:D206)&gt;0,VLOOKUP(F206,Фрезеровки!$B$3:$D$144,3,0),0)</f>
        <v>0</v>
      </c>
      <c r="AC206" s="68">
        <f t="shared" si="3"/>
        <v>0</v>
      </c>
      <c r="AD206" s="68">
        <f t="shared" si="4"/>
        <v>0</v>
      </c>
      <c r="AE206" s="69">
        <f t="shared" si="5"/>
        <v>0</v>
      </c>
      <c r="AF206" s="68">
        <f>IF(ISERROR(VLOOKUP(F206,Фрезеровки!$B$3:$E$144,4,0)),0,VLOOKUP(F206,Фрезеровки!$B$3:$E$144,4,0))</f>
        <v>0</v>
      </c>
    </row>
    <row r="207" spans="1:32" s="50" customFormat="1" ht="15" customHeight="1" x14ac:dyDescent="0.2">
      <c r="A207" s="11">
        <v>28</v>
      </c>
      <c r="B207" s="23"/>
      <c r="C207" s="24"/>
      <c r="D207" s="24"/>
      <c r="E207" s="90"/>
      <c r="F207" s="91"/>
      <c r="G207" s="106"/>
      <c r="H207" s="93"/>
      <c r="I207" s="94"/>
      <c r="J207" s="28"/>
      <c r="K207" s="50" t="str">
        <f t="shared" si="1"/>
        <v/>
      </c>
      <c r="L207" s="83">
        <f t="shared" si="2"/>
        <v>0</v>
      </c>
      <c r="M207" s="80"/>
      <c r="N207" s="80"/>
      <c r="O207" s="80"/>
      <c r="P207" s="80"/>
      <c r="Q207" s="80"/>
      <c r="R207" s="80"/>
      <c r="S207" s="80"/>
      <c r="T207" s="80"/>
      <c r="U207" s="80"/>
      <c r="V207" s="80"/>
      <c r="W207" s="80"/>
      <c r="X207" s="80"/>
      <c r="Z207" s="68">
        <f>IF($E$179=0,0,HLOOKUP($E$179,Краски!$A$10:$N$47,$F$176+1,0))</f>
        <v>0</v>
      </c>
      <c r="AA207" s="68">
        <f>VLOOKUP($A$176,Патина!$A$2:$C$18,3,0)</f>
        <v>0</v>
      </c>
      <c r="AB207" s="68">
        <f>IF(SUM(B207:D207)&gt;0,VLOOKUP(F207,Фрезеровки!$B$3:$D$144,3,0),0)</f>
        <v>0</v>
      </c>
      <c r="AC207" s="68">
        <f t="shared" si="3"/>
        <v>0</v>
      </c>
      <c r="AD207" s="68">
        <f t="shared" si="4"/>
        <v>0</v>
      </c>
      <c r="AE207" s="69">
        <f t="shared" si="5"/>
        <v>0</v>
      </c>
      <c r="AF207" s="68">
        <f>IF(ISERROR(VLOOKUP(F207,Фрезеровки!$B$3:$E$144,4,0)),0,VLOOKUP(F207,Фрезеровки!$B$3:$E$144,4,0))</f>
        <v>0</v>
      </c>
    </row>
    <row r="208" spans="1:32" s="50" customFormat="1" ht="15" customHeight="1" x14ac:dyDescent="0.2">
      <c r="A208" s="11">
        <v>29</v>
      </c>
      <c r="B208" s="23"/>
      <c r="C208" s="24"/>
      <c r="D208" s="24"/>
      <c r="E208" s="90"/>
      <c r="F208" s="91"/>
      <c r="G208" s="106"/>
      <c r="H208" s="93"/>
      <c r="I208" s="94"/>
      <c r="J208" s="28"/>
      <c r="K208" s="50" t="str">
        <f t="shared" si="1"/>
        <v/>
      </c>
      <c r="L208" s="83">
        <f t="shared" si="2"/>
        <v>0</v>
      </c>
      <c r="M208" s="80"/>
      <c r="N208" s="80"/>
      <c r="O208" s="80"/>
      <c r="P208" s="80"/>
      <c r="Q208" s="80"/>
      <c r="R208" s="80"/>
      <c r="S208" s="80"/>
      <c r="T208" s="80"/>
      <c r="U208" s="80"/>
      <c r="V208" s="80"/>
      <c r="W208" s="80"/>
      <c r="X208" s="80"/>
      <c r="Z208" s="68">
        <f>IF($E$179=0,0,HLOOKUP($E$179,Краски!$A$10:$N$47,$F$176+1,0))</f>
        <v>0</v>
      </c>
      <c r="AA208" s="68">
        <f>VLOOKUP($A$176,Патина!$A$2:$C$18,3,0)</f>
        <v>0</v>
      </c>
      <c r="AB208" s="68">
        <f>IF(SUM(B208:D208)&gt;0,VLOOKUP(F208,Фрезеровки!$B$3:$D$144,3,0),0)</f>
        <v>0</v>
      </c>
      <c r="AC208" s="68">
        <f t="shared" si="3"/>
        <v>0</v>
      </c>
      <c r="AD208" s="68">
        <f t="shared" si="4"/>
        <v>0</v>
      </c>
      <c r="AE208" s="69">
        <f t="shared" si="5"/>
        <v>0</v>
      </c>
      <c r="AF208" s="68">
        <f>IF(ISERROR(VLOOKUP(F208,Фрезеровки!$B$3:$E$144,4,0)),0,VLOOKUP(F208,Фрезеровки!$B$3:$E$144,4,0))</f>
        <v>0</v>
      </c>
    </row>
    <row r="209" spans="1:35" s="50" customFormat="1" ht="15" customHeight="1" thickBot="1" x14ac:dyDescent="0.25">
      <c r="A209" s="11">
        <v>30</v>
      </c>
      <c r="B209" s="23"/>
      <c r="C209" s="24"/>
      <c r="D209" s="24"/>
      <c r="E209" s="156"/>
      <c r="F209" s="91"/>
      <c r="G209" s="106"/>
      <c r="H209" s="93"/>
      <c r="I209" s="94"/>
      <c r="J209" s="28"/>
      <c r="K209" s="50" t="str">
        <f t="shared" si="1"/>
        <v/>
      </c>
      <c r="L209" s="83">
        <f t="shared" si="2"/>
        <v>0</v>
      </c>
      <c r="M209" s="80"/>
      <c r="N209" s="80"/>
      <c r="O209" s="80"/>
      <c r="P209" s="80"/>
      <c r="Q209" s="80"/>
      <c r="R209" s="80"/>
      <c r="S209" s="80"/>
      <c r="T209" s="80"/>
      <c r="U209" s="80"/>
      <c r="V209" s="80"/>
      <c r="W209" s="80"/>
      <c r="X209" s="80"/>
      <c r="Z209" s="68">
        <f>IF($E$179=0,0,HLOOKUP($E$179,Краски!$A$10:$N$47,$F$176+1,0))</f>
        <v>0</v>
      </c>
      <c r="AA209" s="68">
        <f>VLOOKUP($A$176,Патина!$A$2:$C$18,3,0)</f>
        <v>0</v>
      </c>
      <c r="AB209" s="68">
        <f>IF(SUM(B209:D209)&gt;0,VLOOKUP(F209,Фрезеровки!$B$3:$D$144,3,0),0)</f>
        <v>0</v>
      </c>
      <c r="AC209" s="68">
        <f t="shared" si="3"/>
        <v>0</v>
      </c>
      <c r="AD209" s="68">
        <f t="shared" si="4"/>
        <v>0</v>
      </c>
      <c r="AE209" s="69">
        <f t="shared" si="5"/>
        <v>0</v>
      </c>
      <c r="AF209" s="68">
        <f>IF(ISERROR(VLOOKUP(F209,Фрезеровки!$B$3:$E$144,4,0)),0,VLOOKUP(F209,Фрезеровки!$B$3:$E$144,4,0))</f>
        <v>0</v>
      </c>
    </row>
    <row r="210" spans="1:35" s="50" customFormat="1" ht="15" customHeight="1" thickBot="1" x14ac:dyDescent="0.25">
      <c r="A210" s="184" t="s">
        <v>348</v>
      </c>
      <c r="B210" s="185"/>
      <c r="C210" s="6"/>
      <c r="D210" s="153" t="s">
        <v>349</v>
      </c>
      <c r="E210" s="157"/>
      <c r="F210" s="13"/>
      <c r="G210" s="13"/>
      <c r="H210" s="63"/>
      <c r="I210" s="13"/>
      <c r="J210" s="8"/>
      <c r="L210" s="83">
        <f>IF(E210&gt;0,"--- Скрыть пустые строки ---",)</f>
        <v>0</v>
      </c>
      <c r="M210" s="80"/>
      <c r="N210" s="80"/>
      <c r="O210" s="80"/>
      <c r="P210" s="80"/>
      <c r="Q210" s="80"/>
      <c r="R210" s="80"/>
      <c r="S210" s="80"/>
      <c r="T210" s="80"/>
      <c r="U210" s="80"/>
      <c r="V210" s="80"/>
      <c r="W210" s="80"/>
      <c r="X210" s="80"/>
      <c r="Z210" s="68"/>
      <c r="AA210" s="68"/>
      <c r="AB210" s="68"/>
      <c r="AC210" s="68"/>
      <c r="AD210" s="68"/>
      <c r="AE210" s="69"/>
      <c r="AF210" s="68"/>
    </row>
    <row r="211" spans="1:35" s="50" customFormat="1" ht="15" customHeight="1" x14ac:dyDescent="0.2">
      <c r="A211" s="11">
        <v>1</v>
      </c>
      <c r="B211" s="23"/>
      <c r="C211" s="24"/>
      <c r="D211" s="24"/>
      <c r="E211" s="86"/>
      <c r="F211" s="91"/>
      <c r="G211" s="106"/>
      <c r="H211" s="93"/>
      <c r="I211" s="94"/>
      <c r="J211" s="28"/>
      <c r="K211" s="50" t="str">
        <f t="shared" ref="K211:K218" si="6">IF(D211&gt;0,IF(N(Z211)=0,"Тип покраски",IF(ISNA(AB211),"Рисунок","")),"")</f>
        <v/>
      </c>
      <c r="L211" s="83">
        <f t="shared" ref="L211:L218" si="7">IF(SUM(B211:D211)&gt;0,"--- Скрыть пустые строки ---",)</f>
        <v>0</v>
      </c>
      <c r="M211" s="80"/>
      <c r="N211" s="80"/>
      <c r="O211" s="80"/>
      <c r="P211" s="80"/>
      <c r="Q211" s="80"/>
      <c r="R211" s="80"/>
      <c r="S211" s="80"/>
      <c r="T211" s="80"/>
      <c r="U211" s="80"/>
      <c r="V211" s="80"/>
      <c r="W211" s="80"/>
      <c r="X211" s="80"/>
      <c r="Z211" s="68">
        <f>IF($E$210=0,0,HLOOKUP($E$210,Краски!$A$10:$N$47,$F$176+1,0))</f>
        <v>0</v>
      </c>
      <c r="AA211" s="68">
        <f>VLOOKUP($A$176,Патина!$A$2:$C$18,3,0)</f>
        <v>0</v>
      </c>
      <c r="AB211" s="68">
        <f>IF(SUM(B211:D211)&gt;0,VLOOKUP(F211,Фрезеровки!$B$3:$D$144,3,0),0)</f>
        <v>0</v>
      </c>
      <c r="AC211" s="68">
        <f t="shared" si="3"/>
        <v>0</v>
      </c>
      <c r="AD211" s="68">
        <f t="shared" ref="AD211:AD218" si="8">ROUND(B211*C211*D211/1000000,2)</f>
        <v>0</v>
      </c>
      <c r="AE211" s="69">
        <f t="shared" ref="AE211:AE218" si="9">IF(E211="Да",(AD211*(Z211+AB211+AC211))*1.15+AA211*AD211,(AD211*(Z211+AA211+AB211+AC211)))+AF211*D211</f>
        <v>0</v>
      </c>
      <c r="AF211" s="68">
        <f>IF(ISERROR(VLOOKUP(F211,Фрезеровки!$B$3:$E$144,4,0)),0,VLOOKUP(F211,Фрезеровки!$B$3:$E$144,4,0))</f>
        <v>0</v>
      </c>
    </row>
    <row r="212" spans="1:35" s="50" customFormat="1" ht="15" customHeight="1" x14ac:dyDescent="0.2">
      <c r="A212" s="11">
        <v>2</v>
      </c>
      <c r="B212" s="23"/>
      <c r="C212" s="24"/>
      <c r="D212" s="24"/>
      <c r="E212" s="90"/>
      <c r="F212" s="91"/>
      <c r="G212" s="106"/>
      <c r="H212" s="93"/>
      <c r="I212" s="94"/>
      <c r="J212" s="28"/>
      <c r="K212" s="50" t="str">
        <f t="shared" si="6"/>
        <v/>
      </c>
      <c r="L212" s="83">
        <f t="shared" si="7"/>
        <v>0</v>
      </c>
      <c r="M212" s="80"/>
      <c r="N212" s="80"/>
      <c r="O212" s="80"/>
      <c r="P212" s="80"/>
      <c r="Q212" s="80"/>
      <c r="R212" s="80"/>
      <c r="S212" s="80"/>
      <c r="T212" s="80"/>
      <c r="U212" s="80"/>
      <c r="V212" s="80"/>
      <c r="W212" s="80"/>
      <c r="X212" s="80"/>
      <c r="Z212" s="68">
        <f>IF($E$210=0,0,HLOOKUP($E$210,Краски!$A$10:$N$47,$F$176+1,0))</f>
        <v>0</v>
      </c>
      <c r="AA212" s="68">
        <f>VLOOKUP($A$176,Патина!$A$2:$C$18,3,0)</f>
        <v>0</v>
      </c>
      <c r="AB212" s="68">
        <f>IF(SUM(B212:D212)&gt;0,VLOOKUP(F212,Фрезеровки!$B$3:$D$144,3,0),0)</f>
        <v>0</v>
      </c>
      <c r="AC212" s="68">
        <f t="shared" si="3"/>
        <v>0</v>
      </c>
      <c r="AD212" s="68">
        <f t="shared" si="8"/>
        <v>0</v>
      </c>
      <c r="AE212" s="69">
        <f t="shared" si="9"/>
        <v>0</v>
      </c>
      <c r="AF212" s="68">
        <f>IF(ISERROR(VLOOKUP(F212,Фрезеровки!$B$3:$E$144,4,0)),0,VLOOKUP(F212,Фрезеровки!$B$3:$E$144,4,0))</f>
        <v>0</v>
      </c>
    </row>
    <row r="213" spans="1:35" s="50" customFormat="1" ht="15" customHeight="1" x14ac:dyDescent="0.2">
      <c r="A213" s="11">
        <v>3</v>
      </c>
      <c r="B213" s="23"/>
      <c r="C213" s="24"/>
      <c r="D213" s="24"/>
      <c r="E213" s="90"/>
      <c r="F213" s="91"/>
      <c r="G213" s="106"/>
      <c r="H213" s="93"/>
      <c r="I213" s="94"/>
      <c r="J213" s="28"/>
      <c r="K213" s="50" t="str">
        <f t="shared" si="6"/>
        <v/>
      </c>
      <c r="L213" s="83">
        <f t="shared" si="7"/>
        <v>0</v>
      </c>
      <c r="M213" s="80"/>
      <c r="N213" s="80"/>
      <c r="O213" s="80"/>
      <c r="P213" s="80"/>
      <c r="Q213" s="80"/>
      <c r="R213" s="80"/>
      <c r="S213" s="80"/>
      <c r="T213" s="80"/>
      <c r="U213" s="80"/>
      <c r="V213" s="80"/>
      <c r="W213" s="80"/>
      <c r="X213" s="80"/>
      <c r="Z213" s="68">
        <f>IF($E$210=0,0,HLOOKUP($E$210,Краски!$A$10:$N$47,$F$176+1,0))</f>
        <v>0</v>
      </c>
      <c r="AA213" s="68">
        <f>VLOOKUP($A$176,Патина!$A$2:$C$18,3,0)</f>
        <v>0</v>
      </c>
      <c r="AB213" s="68">
        <f>IF(SUM(B213:D213)&gt;0,VLOOKUP(F213,Фрезеровки!$B$3:$D$144,3,0),0)</f>
        <v>0</v>
      </c>
      <c r="AC213" s="68">
        <f t="shared" si="3"/>
        <v>0</v>
      </c>
      <c r="AD213" s="68">
        <f t="shared" si="8"/>
        <v>0</v>
      </c>
      <c r="AE213" s="69">
        <f t="shared" si="9"/>
        <v>0</v>
      </c>
      <c r="AF213" s="68">
        <f>IF(ISERROR(VLOOKUP(F213,Фрезеровки!$B$3:$E$144,4,0)),0,VLOOKUP(F213,Фрезеровки!$B$3:$E$144,4,0))</f>
        <v>0</v>
      </c>
    </row>
    <row r="214" spans="1:35" s="50" customFormat="1" ht="15" customHeight="1" x14ac:dyDescent="0.2">
      <c r="A214" s="11">
        <v>4</v>
      </c>
      <c r="B214" s="23"/>
      <c r="C214" s="24"/>
      <c r="D214" s="24"/>
      <c r="E214" s="90"/>
      <c r="F214" s="91"/>
      <c r="G214" s="106"/>
      <c r="H214" s="93"/>
      <c r="I214" s="94"/>
      <c r="J214" s="28"/>
      <c r="K214" s="50" t="str">
        <f t="shared" si="6"/>
        <v/>
      </c>
      <c r="L214" s="83">
        <f t="shared" si="7"/>
        <v>0</v>
      </c>
      <c r="M214" s="80"/>
      <c r="N214" s="80"/>
      <c r="O214" s="80"/>
      <c r="P214" s="80"/>
      <c r="Q214" s="80"/>
      <c r="R214" s="80"/>
      <c r="S214" s="80"/>
      <c r="T214" s="80"/>
      <c r="U214" s="80"/>
      <c r="V214" s="80"/>
      <c r="W214" s="80"/>
      <c r="X214" s="80"/>
      <c r="Z214" s="68">
        <f>IF($E$210=0,0,HLOOKUP($E$210,Краски!$A$10:$N$47,$F$176+1,0))</f>
        <v>0</v>
      </c>
      <c r="AA214" s="68">
        <f>VLOOKUP($A$176,Патина!$A$2:$C$18,3,0)</f>
        <v>0</v>
      </c>
      <c r="AB214" s="68">
        <f>IF(SUM(B214:D214)&gt;0,VLOOKUP(F214,Фрезеровки!$B$3:$D$144,3,0),0)</f>
        <v>0</v>
      </c>
      <c r="AC214" s="68">
        <f t="shared" si="3"/>
        <v>0</v>
      </c>
      <c r="AD214" s="68">
        <f t="shared" si="8"/>
        <v>0</v>
      </c>
      <c r="AE214" s="69">
        <f t="shared" si="9"/>
        <v>0</v>
      </c>
      <c r="AF214" s="68">
        <f>IF(ISERROR(VLOOKUP(F214,Фрезеровки!$B$3:$E$144,4,0)),0,VLOOKUP(F214,Фрезеровки!$B$3:$E$144,4,0))</f>
        <v>0</v>
      </c>
    </row>
    <row r="215" spans="1:35" s="50" customFormat="1" ht="15" customHeight="1" x14ac:dyDescent="0.2">
      <c r="A215" s="11">
        <v>5</v>
      </c>
      <c r="B215" s="23"/>
      <c r="C215" s="24"/>
      <c r="D215" s="24"/>
      <c r="E215" s="90"/>
      <c r="F215" s="91"/>
      <c r="G215" s="106"/>
      <c r="H215" s="93"/>
      <c r="I215" s="94"/>
      <c r="J215" s="28"/>
      <c r="K215" s="50" t="str">
        <f t="shared" si="6"/>
        <v/>
      </c>
      <c r="L215" s="83">
        <f t="shared" si="7"/>
        <v>0</v>
      </c>
      <c r="M215" s="80"/>
      <c r="N215" s="80"/>
      <c r="O215" s="80"/>
      <c r="P215" s="80"/>
      <c r="Q215" s="80"/>
      <c r="R215" s="80"/>
      <c r="S215" s="80"/>
      <c r="T215" s="80"/>
      <c r="U215" s="80"/>
      <c r="V215" s="80"/>
      <c r="W215" s="80"/>
      <c r="X215" s="80"/>
      <c r="Z215" s="68">
        <f>IF($E$210=0,0,HLOOKUP($E$210,Краски!$A$10:$N$47,$F$176+1,0))</f>
        <v>0</v>
      </c>
      <c r="AA215" s="68">
        <f>VLOOKUP($A$176,Патина!$A$2:$C$18,3,0)</f>
        <v>0</v>
      </c>
      <c r="AB215" s="68">
        <f>IF(SUM(B215:D215)&gt;0,VLOOKUP(F215,Фрезеровки!$B$3:$D$144,3,0),0)</f>
        <v>0</v>
      </c>
      <c r="AC215" s="68">
        <f t="shared" si="3"/>
        <v>0</v>
      </c>
      <c r="AD215" s="68">
        <f t="shared" si="8"/>
        <v>0</v>
      </c>
      <c r="AE215" s="69">
        <f t="shared" si="9"/>
        <v>0</v>
      </c>
      <c r="AF215" s="68">
        <f>IF(ISERROR(VLOOKUP(F215,Фрезеровки!$B$3:$E$144,4,0)),0,VLOOKUP(F215,Фрезеровки!$B$3:$E$144,4,0))</f>
        <v>0</v>
      </c>
    </row>
    <row r="216" spans="1:35" s="50" customFormat="1" ht="15" customHeight="1" x14ac:dyDescent="0.2">
      <c r="A216" s="11">
        <v>6</v>
      </c>
      <c r="B216" s="23"/>
      <c r="C216" s="24"/>
      <c r="D216" s="24"/>
      <c r="E216" s="90"/>
      <c r="F216" s="91"/>
      <c r="G216" s="106"/>
      <c r="H216" s="93"/>
      <c r="I216" s="94"/>
      <c r="J216" s="28"/>
      <c r="K216" s="50" t="str">
        <f t="shared" si="6"/>
        <v/>
      </c>
      <c r="L216" s="83">
        <f t="shared" si="7"/>
        <v>0</v>
      </c>
      <c r="M216" s="80"/>
      <c r="N216" s="80"/>
      <c r="O216" s="80"/>
      <c r="P216" s="80"/>
      <c r="Q216" s="80"/>
      <c r="R216" s="80"/>
      <c r="S216" s="80"/>
      <c r="T216" s="80"/>
      <c r="U216" s="80"/>
      <c r="V216" s="80"/>
      <c r="W216" s="80"/>
      <c r="X216" s="80"/>
      <c r="Z216" s="68">
        <f>IF($E$210=0,0,HLOOKUP($E$210,Краски!$A$10:$N$47,$F$176+1,0))</f>
        <v>0</v>
      </c>
      <c r="AA216" s="68">
        <f>VLOOKUP($A$176,Патина!$A$2:$C$18,3,0)</f>
        <v>0</v>
      </c>
      <c r="AB216" s="68">
        <f>IF(SUM(B216:D216)&gt;0,VLOOKUP(F216,Фрезеровки!$B$3:$D$144,3,0),0)</f>
        <v>0</v>
      </c>
      <c r="AC216" s="68">
        <f t="shared" si="3"/>
        <v>0</v>
      </c>
      <c r="AD216" s="68">
        <f t="shared" si="8"/>
        <v>0</v>
      </c>
      <c r="AE216" s="69">
        <f t="shared" si="9"/>
        <v>0</v>
      </c>
      <c r="AF216" s="68">
        <f>IF(ISERROR(VLOOKUP(F216,Фрезеровки!$B$3:$E$144,4,0)),0,VLOOKUP(F216,Фрезеровки!$B$3:$E$144,4,0))</f>
        <v>0</v>
      </c>
    </row>
    <row r="217" spans="1:35" s="50" customFormat="1" ht="15" customHeight="1" x14ac:dyDescent="0.2">
      <c r="A217" s="11">
        <v>7</v>
      </c>
      <c r="B217" s="23"/>
      <c r="C217" s="24"/>
      <c r="D217" s="24"/>
      <c r="E217" s="90"/>
      <c r="F217" s="91"/>
      <c r="G217" s="106"/>
      <c r="H217" s="93"/>
      <c r="I217" s="94"/>
      <c r="J217" s="28"/>
      <c r="K217" s="50" t="str">
        <f t="shared" si="6"/>
        <v/>
      </c>
      <c r="L217" s="83">
        <f t="shared" si="7"/>
        <v>0</v>
      </c>
      <c r="M217" s="80"/>
      <c r="N217" s="80"/>
      <c r="O217" s="80"/>
      <c r="P217" s="80"/>
      <c r="Q217" s="80"/>
      <c r="R217" s="80"/>
      <c r="S217" s="80"/>
      <c r="T217" s="80"/>
      <c r="U217" s="80"/>
      <c r="V217" s="80"/>
      <c r="W217" s="80"/>
      <c r="X217" s="80"/>
      <c r="Z217" s="68">
        <f>IF($E$210=0,0,HLOOKUP($E$210,Краски!$A$10:$N$47,$F$176+1,0))</f>
        <v>0</v>
      </c>
      <c r="AA217" s="68">
        <f>VLOOKUP($A$176,Патина!$A$2:$C$18,3,0)</f>
        <v>0</v>
      </c>
      <c r="AB217" s="68">
        <f>IF(SUM(B217:D217)&gt;0,VLOOKUP(F217,Фрезеровки!$B$3:$D$144,3,0),0)</f>
        <v>0</v>
      </c>
      <c r="AC217" s="68">
        <f t="shared" si="3"/>
        <v>0</v>
      </c>
      <c r="AD217" s="68">
        <f t="shared" si="8"/>
        <v>0</v>
      </c>
      <c r="AE217" s="69">
        <f t="shared" si="9"/>
        <v>0</v>
      </c>
      <c r="AF217" s="68">
        <f>IF(ISERROR(VLOOKUP(F217,Фрезеровки!$B$3:$E$144,4,0)),0,VLOOKUP(F217,Фрезеровки!$B$3:$E$144,4,0))</f>
        <v>0</v>
      </c>
    </row>
    <row r="218" spans="1:35" s="50" customFormat="1" ht="15" customHeight="1" x14ac:dyDescent="0.2">
      <c r="A218" s="12">
        <v>8</v>
      </c>
      <c r="B218" s="25"/>
      <c r="C218" s="26"/>
      <c r="D218" s="26"/>
      <c r="E218" s="95"/>
      <c r="F218" s="91"/>
      <c r="G218" s="106"/>
      <c r="H218" s="93"/>
      <c r="I218" s="94"/>
      <c r="J218" s="28"/>
      <c r="K218" s="50" t="str">
        <f t="shared" si="6"/>
        <v/>
      </c>
      <c r="L218" s="83">
        <f t="shared" si="7"/>
        <v>0</v>
      </c>
      <c r="M218" s="80"/>
      <c r="N218" s="80"/>
      <c r="O218" s="80"/>
      <c r="P218" s="80"/>
      <c r="Q218" s="80"/>
      <c r="R218" s="80"/>
      <c r="S218" s="80"/>
      <c r="T218" s="80"/>
      <c r="U218" s="80"/>
      <c r="V218" s="80"/>
      <c r="W218" s="80"/>
      <c r="X218" s="80"/>
      <c r="Z218" s="68">
        <f>IF($E$210=0,0,HLOOKUP($E$210,Краски!$A$10:$N$47,$F$176+1,0))</f>
        <v>0</v>
      </c>
      <c r="AA218" s="68">
        <f>VLOOKUP($A$176,Патина!$A$2:$C$18,3,0)</f>
        <v>0</v>
      </c>
      <c r="AB218" s="68">
        <f>IF(SUM(B218:D218)&gt;0,VLOOKUP(F218,Фрезеровки!$B$3:$D$144,3,0),0)</f>
        <v>0</v>
      </c>
      <c r="AC218" s="68">
        <f t="shared" si="3"/>
        <v>0</v>
      </c>
      <c r="AD218" s="68">
        <f t="shared" si="8"/>
        <v>0</v>
      </c>
      <c r="AE218" s="69">
        <f t="shared" si="9"/>
        <v>0</v>
      </c>
      <c r="AF218" s="68">
        <f>IF(ISERROR(VLOOKUP(F218,Фрезеровки!$B$3:$E$144,4,0)),0,VLOOKUP(F218,Фрезеровки!$B$3:$E$144,4,0))</f>
        <v>0</v>
      </c>
    </row>
    <row r="219" spans="1:35" s="50" customFormat="1" ht="15.75" customHeight="1" x14ac:dyDescent="0.2">
      <c r="A219" s="201" t="s">
        <v>350</v>
      </c>
      <c r="B219" s="201"/>
      <c r="C219" s="207"/>
      <c r="D219" s="30">
        <f>SUM(D180:D218)</f>
        <v>0</v>
      </c>
      <c r="E219" s="31" t="s">
        <v>4</v>
      </c>
      <c r="F219" s="32" t="s">
        <v>351</v>
      </c>
      <c r="G219" s="33"/>
      <c r="H219" s="34">
        <f>SUM(AD180:AD218)</f>
        <v>0</v>
      </c>
      <c r="I219" s="33" t="s">
        <v>352</v>
      </c>
      <c r="J219" s="35">
        <f>SUM(AE180:AE218)</f>
        <v>0</v>
      </c>
      <c r="L219" s="83">
        <f>IF(D219&gt;0,"--- Скрыть пустые строки ---",)</f>
        <v>0</v>
      </c>
      <c r="M219" s="80"/>
      <c r="N219" s="80"/>
      <c r="O219" s="80"/>
      <c r="P219" s="80"/>
      <c r="Q219" s="80"/>
      <c r="R219" s="80"/>
      <c r="S219" s="80"/>
      <c r="T219" s="80"/>
      <c r="U219" s="80"/>
      <c r="V219" s="80"/>
      <c r="W219" s="80"/>
      <c r="X219" s="80"/>
      <c r="Z219" s="68"/>
      <c r="AA219" s="68"/>
      <c r="AB219" s="68"/>
      <c r="AC219" s="68"/>
      <c r="AD219" s="68"/>
      <c r="AE219" s="69"/>
      <c r="AF219" s="68"/>
    </row>
    <row r="220" spans="1:35" ht="6.75" customHeight="1" x14ac:dyDescent="0.2">
      <c r="A220" s="45"/>
      <c r="B220" s="45"/>
      <c r="C220" s="45"/>
      <c r="D220" s="45"/>
      <c r="E220" s="45"/>
      <c r="F220" s="45"/>
      <c r="G220" s="45"/>
      <c r="H220" s="64"/>
      <c r="I220" s="45"/>
      <c r="J220" s="45"/>
      <c r="L220" s="84">
        <f>IF(SUM($D$223:$D$232)&gt;0,"--- Скрыть пустые строки ---",)</f>
        <v>0</v>
      </c>
      <c r="M220" s="81"/>
      <c r="N220" s="81"/>
      <c r="O220" s="81"/>
      <c r="P220" s="81"/>
      <c r="Q220" s="81"/>
      <c r="R220" s="81"/>
      <c r="S220" s="81"/>
      <c r="T220" s="81"/>
      <c r="U220" s="81"/>
      <c r="V220" s="81"/>
      <c r="W220" s="81"/>
      <c r="X220" s="81"/>
    </row>
    <row r="221" spans="1:35" s="51" customFormat="1" ht="25.5" customHeight="1" thickBot="1" x14ac:dyDescent="0.25">
      <c r="A221" s="7" t="s">
        <v>0</v>
      </c>
      <c r="B221" s="7" t="s">
        <v>340</v>
      </c>
      <c r="C221" s="7" t="s">
        <v>1</v>
      </c>
      <c r="D221" s="7" t="s">
        <v>341</v>
      </c>
      <c r="E221" s="154" t="s">
        <v>342</v>
      </c>
      <c r="F221" s="7" t="s">
        <v>343</v>
      </c>
      <c r="G221" s="7" t="s">
        <v>344</v>
      </c>
      <c r="H221" s="7" t="s">
        <v>345</v>
      </c>
      <c r="I221" s="7" t="s">
        <v>346</v>
      </c>
      <c r="J221" s="7" t="s">
        <v>347</v>
      </c>
      <c r="L221" s="84">
        <f>IF(SUM($D$223:$D$232)&gt;0,"--- Скрыть пустые строки ---",)</f>
        <v>0</v>
      </c>
      <c r="M221" s="81"/>
      <c r="N221" s="81"/>
      <c r="O221" s="81"/>
      <c r="P221" s="81"/>
      <c r="Q221" s="81"/>
      <c r="R221" s="81"/>
      <c r="S221" s="81"/>
      <c r="T221" s="81"/>
      <c r="U221" s="81"/>
      <c r="V221" s="81"/>
      <c r="W221" s="81"/>
      <c r="X221" s="81"/>
      <c r="Z221" s="70"/>
      <c r="AA221" s="70"/>
      <c r="AB221" s="70"/>
      <c r="AC221" s="70"/>
      <c r="AD221" s="70"/>
      <c r="AE221" s="71"/>
      <c r="AF221" s="70"/>
    </row>
    <row r="222" spans="1:35" s="50" customFormat="1" ht="15.75" customHeight="1" thickBot="1" x14ac:dyDescent="0.25">
      <c r="A222" s="184" t="s">
        <v>353</v>
      </c>
      <c r="B222" s="185"/>
      <c r="C222" s="6"/>
      <c r="D222" s="153" t="s">
        <v>349</v>
      </c>
      <c r="E222" s="155"/>
      <c r="F222" s="13"/>
      <c r="G222" s="13"/>
      <c r="H222" s="63"/>
      <c r="I222" s="13"/>
      <c r="J222" s="8"/>
      <c r="K222" s="121" t="b">
        <f>IF(D233&gt;0,IF(E222=0,"Толщина",""))</f>
        <v>0</v>
      </c>
      <c r="L222" s="84">
        <f>IF(SUM($D$223:$D$232)&gt;0,"--- Скрыть пустые строки ---",)</f>
        <v>0</v>
      </c>
      <c r="M222" s="81"/>
      <c r="N222" s="81"/>
      <c r="O222" s="81"/>
      <c r="P222" s="81"/>
      <c r="Q222" s="81"/>
      <c r="R222" s="81"/>
      <c r="S222" s="81"/>
      <c r="T222" s="81"/>
      <c r="U222" s="81"/>
      <c r="V222" s="81"/>
      <c r="W222" s="81"/>
      <c r="X222" s="81"/>
      <c r="Z222" s="68"/>
      <c r="AA222" s="68"/>
      <c r="AB222" s="68"/>
      <c r="AC222" s="68" t="s">
        <v>123</v>
      </c>
      <c r="AD222" s="68"/>
      <c r="AE222" s="69"/>
      <c r="AF222" s="68" t="s">
        <v>117</v>
      </c>
      <c r="AG222" s="68"/>
      <c r="AH222" s="68" t="s">
        <v>208</v>
      </c>
      <c r="AI222" s="68"/>
    </row>
    <row r="223" spans="1:35" s="50" customFormat="1" ht="15" customHeight="1" x14ac:dyDescent="0.2">
      <c r="A223" s="10">
        <v>1</v>
      </c>
      <c r="B223" s="23"/>
      <c r="C223" s="39"/>
      <c r="D223" s="24"/>
      <c r="E223" s="86"/>
      <c r="F223" s="91"/>
      <c r="G223" s="92"/>
      <c r="H223" s="93"/>
      <c r="I223" s="96"/>
      <c r="J223" s="28"/>
      <c r="K223" s="50" t="str">
        <f>IF(D223&gt;0,IF(ISNA(AB223),"Рисунок",IF(I223&gt;0,IF(ISNA(AH223),CONCATENATE("Ширина ",AI223,"мм"),""),"Радиус")),"")</f>
        <v/>
      </c>
      <c r="L223" s="83">
        <f>IF(SUM(B223:D223)&gt;0,"--- Скрыть пустые строки ---",)</f>
        <v>0</v>
      </c>
      <c r="M223" s="80"/>
      <c r="N223" s="80"/>
      <c r="O223" s="80"/>
      <c r="P223" s="80"/>
      <c r="Q223" s="80"/>
      <c r="R223" s="80"/>
      <c r="S223" s="80"/>
      <c r="T223" s="80"/>
      <c r="U223" s="80"/>
      <c r="V223" s="80"/>
      <c r="W223" s="80"/>
      <c r="X223" s="80"/>
      <c r="Z223" s="68">
        <f>IF($E$222=0,0,HLOOKUP($E$222,Краски!$A$10:$N$47,$F$176+1,0))</f>
        <v>0</v>
      </c>
      <c r="AA223" s="68">
        <f>VLOOKUP($A$176,Патина!$A$2:$C$18,3,0)</f>
        <v>0</v>
      </c>
      <c r="AB223" s="68">
        <f>IF(SUM(B223:D223)&gt;0,VLOOKUP(F223,Фрезеровки!$H$3:$J$140,3,0),0)</f>
        <v>0</v>
      </c>
      <c r="AC223" s="72">
        <f>IF(K223="Радиус",1,0)</f>
        <v>0</v>
      </c>
      <c r="AD223" s="68">
        <f>ROUND(B223*C223*D223/1000000,2)</f>
        <v>0</v>
      </c>
      <c r="AE223" s="69">
        <f>IF(E223="Да",AD223*(Z223+AB223)*1.15+AD223*AA223+AF223*D223,AD223*(Z223+AA223+AB223)+AF223*D223)</f>
        <v>0</v>
      </c>
      <c r="AF223" s="68">
        <f>IF(B223&gt;0,IF(ISERROR(VLOOKUP(B223,Гнутые!$B$2:$C$15,2,0)),100,0),0)</f>
        <v>0</v>
      </c>
      <c r="AH223" s="68">
        <f>IF(D223=0,0,MATCH(VLOOKUP(I223,Гнутые!$E$3:$F$8,2,0),B223:C223,0))</f>
        <v>0</v>
      </c>
      <c r="AI223" s="68" t="e">
        <f>VLOOKUP(I223,Гнутые!$E$3:$F$8,2,0)</f>
        <v>#N/A</v>
      </c>
    </row>
    <row r="224" spans="1:35" s="50" customFormat="1" ht="15" customHeight="1" x14ac:dyDescent="0.2">
      <c r="A224" s="11">
        <v>2</v>
      </c>
      <c r="B224" s="23"/>
      <c r="C224" s="39"/>
      <c r="D224" s="24"/>
      <c r="E224" s="90"/>
      <c r="F224" s="91"/>
      <c r="G224" s="92"/>
      <c r="H224" s="93"/>
      <c r="I224" s="96"/>
      <c r="J224" s="28"/>
      <c r="K224" s="50" t="str">
        <f>IF(D224&gt;0,IF(ISNA(AB224),"Рисунок",IF(I224&gt;0,IF(ISNA(AH224),CONCATENATE("Ширина ",AI224,"мм"),""),"Радиус")),"")</f>
        <v/>
      </c>
      <c r="L224" s="83">
        <f>IF(SUM(B224:D224)&gt;0,"--- Скрыть пустые строки ---",)</f>
        <v>0</v>
      </c>
      <c r="M224" s="80"/>
      <c r="N224" s="80"/>
      <c r="O224" s="80"/>
      <c r="P224" s="80"/>
      <c r="Q224" s="80"/>
      <c r="R224" s="80"/>
      <c r="S224" s="80"/>
      <c r="T224" s="80"/>
      <c r="U224" s="80"/>
      <c r="V224" s="80"/>
      <c r="W224" s="80"/>
      <c r="X224" s="80"/>
      <c r="Z224" s="68">
        <f>IF($E$222=0,0,HLOOKUP($E$222,Краски!$A$10:$N$47,$F$176+1,0))</f>
        <v>0</v>
      </c>
      <c r="AA224" s="68">
        <f>VLOOKUP($A$176,Патина!$A$2:$C$18,3,0)</f>
        <v>0</v>
      </c>
      <c r="AB224" s="68">
        <f>IF(SUM(B224:D224)&gt;0,VLOOKUP(F224,Фрезеровки!$H$3:$J$140,3,0),0)</f>
        <v>0</v>
      </c>
      <c r="AC224" s="72">
        <f>IF(K224="Радиус",1,0)</f>
        <v>0</v>
      </c>
      <c r="AD224" s="68">
        <f>ROUND(B224*C224*D224/1000000,2)</f>
        <v>0</v>
      </c>
      <c r="AE224" s="69">
        <f t="shared" ref="AE224:AE232" si="10">IF(E224="Да",AD224*(Z224+AB224)*1.15+AD224*AA224+AF224*D224,AD224*(Z224+AA224+AB224)+AF224*D224)</f>
        <v>0</v>
      </c>
      <c r="AF224" s="68">
        <f>IF(B224&gt;0,IF(ISERROR(VLOOKUP(B224,Гнутые!$B$2:$C$15,2,0)),100,0),0)</f>
        <v>0</v>
      </c>
      <c r="AH224" s="68">
        <f>IF(D224=0,0,MATCH(VLOOKUP(I224,Гнутые!$E$3:$F$8,2,0),B224:C224,0))</f>
        <v>0</v>
      </c>
      <c r="AI224" s="68" t="e">
        <f>VLOOKUP(I224,Гнутые!$E$3:$F$8,2,0)</f>
        <v>#N/A</v>
      </c>
    </row>
    <row r="225" spans="1:35" s="50" customFormat="1" ht="15" customHeight="1" x14ac:dyDescent="0.2">
      <c r="A225" s="11">
        <v>3</v>
      </c>
      <c r="B225" s="23"/>
      <c r="C225" s="39"/>
      <c r="D225" s="24"/>
      <c r="E225" s="90"/>
      <c r="F225" s="91"/>
      <c r="G225" s="92"/>
      <c r="H225" s="93"/>
      <c r="I225" s="96"/>
      <c r="J225" s="28"/>
      <c r="K225" s="50" t="str">
        <f>IF(D225&gt;0,IF(ISNA(AB225),"Рисунок",IF(I225&gt;0,IF(ISNA(AH225),CONCATENATE("Ширина ",AI225,"мм"),""),"Радиус")),"")</f>
        <v/>
      </c>
      <c r="L225" s="83">
        <f>IF(SUM(B225:D225)&gt;0,"--- Скрыть пустые строки ---",)</f>
        <v>0</v>
      </c>
      <c r="M225" s="80"/>
      <c r="N225" s="80"/>
      <c r="O225" s="80"/>
      <c r="P225" s="80"/>
      <c r="Q225" s="80"/>
      <c r="R225" s="80"/>
      <c r="S225" s="80"/>
      <c r="T225" s="80"/>
      <c r="U225" s="80"/>
      <c r="V225" s="80"/>
      <c r="W225" s="80"/>
      <c r="X225" s="80"/>
      <c r="Y225" s="160"/>
      <c r="Z225" s="68">
        <f>IF($E$222=0,0,HLOOKUP($E$222,Краски!$A$10:$N$47,$F$176+1,0))</f>
        <v>0</v>
      </c>
      <c r="AA225" s="68">
        <f>VLOOKUP($A$176,Патина!$A$2:$C$18,3,0)</f>
        <v>0</v>
      </c>
      <c r="AB225" s="68">
        <f>IF(SUM(B225:D225)&gt;0,VLOOKUP(F225,Фрезеровки!$H$3:$J$140,3,0),0)</f>
        <v>0</v>
      </c>
      <c r="AC225" s="72">
        <f>IF(K225="Радиус",1,0)</f>
        <v>0</v>
      </c>
      <c r="AD225" s="68">
        <f>ROUND(B225*C225*D225/1000000,2)</f>
        <v>0</v>
      </c>
      <c r="AE225" s="69">
        <f t="shared" si="10"/>
        <v>0</v>
      </c>
      <c r="AF225" s="68">
        <f>IF(B225&gt;0,IF(ISERROR(VLOOKUP(B225,Гнутые!$B$2:$C$15,2,0)),100,0),0)</f>
        <v>0</v>
      </c>
      <c r="AH225" s="68">
        <f>IF(D225=0,0,MATCH(VLOOKUP(I225,Гнутые!$E$3:$F$8,2,0),B225:C225,0))</f>
        <v>0</v>
      </c>
      <c r="AI225" s="68" t="e">
        <f>VLOOKUP(I225,Гнутые!$E$3:$F$8,2,0)</f>
        <v>#N/A</v>
      </c>
    </row>
    <row r="226" spans="1:35" s="50" customFormat="1" ht="15" customHeight="1" x14ac:dyDescent="0.2">
      <c r="A226" s="11">
        <v>4</v>
      </c>
      <c r="B226" s="23"/>
      <c r="C226" s="39"/>
      <c r="D226" s="24"/>
      <c r="E226" s="90"/>
      <c r="F226" s="91"/>
      <c r="G226" s="92"/>
      <c r="H226" s="93"/>
      <c r="I226" s="96"/>
      <c r="J226" s="28"/>
      <c r="K226" s="50" t="str">
        <f t="shared" ref="K226:K232" si="11">IF(D226&gt;0,IF(ISNA(AB226),"Рисунок",IF(I226&gt;0,IF(ISNA(AH226),CONCATENATE("Ширина ",AI226,"мм"),""),"Радиус")),"")</f>
        <v/>
      </c>
      <c r="L226" s="83">
        <f t="shared" ref="L226:L232" si="12">IF(SUM(B226:D226)&gt;0,"--- Скрыть пустые строки ---",)</f>
        <v>0</v>
      </c>
      <c r="M226" s="80"/>
      <c r="N226" s="80"/>
      <c r="O226" s="80"/>
      <c r="P226" s="80"/>
      <c r="Q226" s="80"/>
      <c r="R226" s="80"/>
      <c r="S226" s="80"/>
      <c r="T226" s="80"/>
      <c r="U226" s="80"/>
      <c r="V226" s="80"/>
      <c r="W226" s="80"/>
      <c r="X226" s="80"/>
      <c r="Z226" s="68">
        <f>IF($E$222=0,0,HLOOKUP($E$222,Краски!$A$10:$N$47,$F$176+1,0))</f>
        <v>0</v>
      </c>
      <c r="AA226" s="68">
        <f>VLOOKUP($A$176,Патина!$A$2:$C$18,3,0)</f>
        <v>0</v>
      </c>
      <c r="AB226" s="68">
        <f>IF(SUM(B226:D226)&gt;0,VLOOKUP(F226,Фрезеровки!$H$3:$J$140,3,0),0)</f>
        <v>0</v>
      </c>
      <c r="AC226" s="72">
        <f t="shared" ref="AC226:AC232" si="13">IF(K226="Радиус",1,0)</f>
        <v>0</v>
      </c>
      <c r="AD226" s="68">
        <f t="shared" ref="AD226:AD232" si="14">ROUND(B226*C226*D226/1000000,2)</f>
        <v>0</v>
      </c>
      <c r="AE226" s="69">
        <f t="shared" si="10"/>
        <v>0</v>
      </c>
      <c r="AF226" s="68">
        <f>IF(B226&gt;0,IF(ISERROR(VLOOKUP(B226,Гнутые!$B$2:$C$15,2,0)),100,0),0)</f>
        <v>0</v>
      </c>
      <c r="AH226" s="68">
        <f>IF(D226=0,0,MATCH(VLOOKUP(I226,Гнутые!$E$3:$F$8,2,0),B226:C226,0))</f>
        <v>0</v>
      </c>
      <c r="AI226" s="68" t="e">
        <f>VLOOKUP(I226,Гнутые!$E$3:$F$8,2,0)</f>
        <v>#N/A</v>
      </c>
    </row>
    <row r="227" spans="1:35" s="50" customFormat="1" ht="15" customHeight="1" x14ac:dyDescent="0.2">
      <c r="A227" s="11">
        <v>5</v>
      </c>
      <c r="B227" s="23"/>
      <c r="C227" s="39"/>
      <c r="D227" s="24"/>
      <c r="E227" s="90"/>
      <c r="F227" s="91"/>
      <c r="G227" s="92"/>
      <c r="H227" s="93"/>
      <c r="I227" s="96"/>
      <c r="J227" s="28"/>
      <c r="K227" s="50" t="str">
        <f t="shared" si="11"/>
        <v/>
      </c>
      <c r="L227" s="83">
        <f t="shared" si="12"/>
        <v>0</v>
      </c>
      <c r="M227" s="80"/>
      <c r="N227" s="80"/>
      <c r="O227" s="80"/>
      <c r="P227" s="80"/>
      <c r="Q227" s="80"/>
      <c r="R227" s="80"/>
      <c r="S227" s="80"/>
      <c r="T227" s="80"/>
      <c r="U227" s="80"/>
      <c r="V227" s="80"/>
      <c r="W227" s="80"/>
      <c r="X227" s="80"/>
      <c r="Z227" s="68">
        <f>IF($E$222=0,0,HLOOKUP($E$222,Краски!$A$10:$N$47,$F$176+1,0))</f>
        <v>0</v>
      </c>
      <c r="AA227" s="68">
        <f>VLOOKUP($A$176,Патина!$A$2:$C$18,3,0)</f>
        <v>0</v>
      </c>
      <c r="AB227" s="68">
        <f>IF(SUM(B227:D227)&gt;0,VLOOKUP(F227,Фрезеровки!$H$3:$J$140,3,0),0)</f>
        <v>0</v>
      </c>
      <c r="AC227" s="72">
        <f t="shared" si="13"/>
        <v>0</v>
      </c>
      <c r="AD227" s="68">
        <f t="shared" si="14"/>
        <v>0</v>
      </c>
      <c r="AE227" s="69">
        <f t="shared" si="10"/>
        <v>0</v>
      </c>
      <c r="AF227" s="68">
        <f>IF(B227&gt;0,IF(ISERROR(VLOOKUP(B227,Гнутые!$B$2:$C$15,2,0)),100,0),0)</f>
        <v>0</v>
      </c>
      <c r="AH227" s="68">
        <f>IF(D227=0,0,MATCH(VLOOKUP(I227,Гнутые!$E$3:$F$8,2,0),B227:C227,0))</f>
        <v>0</v>
      </c>
      <c r="AI227" s="68" t="e">
        <f>VLOOKUP(I227,Гнутые!$E$3:$F$8,2,0)</f>
        <v>#N/A</v>
      </c>
    </row>
    <row r="228" spans="1:35" s="50" customFormat="1" ht="15" customHeight="1" x14ac:dyDescent="0.2">
      <c r="A228" s="11">
        <v>6</v>
      </c>
      <c r="B228" s="23"/>
      <c r="C228" s="39"/>
      <c r="D228" s="24"/>
      <c r="E228" s="90"/>
      <c r="F228" s="91"/>
      <c r="G228" s="92"/>
      <c r="H228" s="93"/>
      <c r="I228" s="96"/>
      <c r="J228" s="28"/>
      <c r="K228" s="50" t="str">
        <f t="shared" si="11"/>
        <v/>
      </c>
      <c r="L228" s="83">
        <f t="shared" si="12"/>
        <v>0</v>
      </c>
      <c r="M228" s="80"/>
      <c r="N228" s="80"/>
      <c r="O228" s="80"/>
      <c r="P228" s="80"/>
      <c r="Q228" s="80"/>
      <c r="R228" s="80"/>
      <c r="S228" s="80"/>
      <c r="T228" s="80"/>
      <c r="U228" s="80"/>
      <c r="V228" s="80"/>
      <c r="W228" s="80"/>
      <c r="X228" s="80"/>
      <c r="Z228" s="68">
        <f>IF($E$222=0,0,HLOOKUP($E$222,Краски!$A$10:$N$47,$F$176+1,0))</f>
        <v>0</v>
      </c>
      <c r="AA228" s="68">
        <f>VLOOKUP($A$176,Патина!$A$2:$C$18,3,0)</f>
        <v>0</v>
      </c>
      <c r="AB228" s="68">
        <f>IF(SUM(B228:D228)&gt;0,VLOOKUP(F228,Фрезеровки!$H$3:$J$140,3,0),0)</f>
        <v>0</v>
      </c>
      <c r="AC228" s="72">
        <f t="shared" si="13"/>
        <v>0</v>
      </c>
      <c r="AD228" s="68">
        <f t="shared" si="14"/>
        <v>0</v>
      </c>
      <c r="AE228" s="69">
        <f t="shared" si="10"/>
        <v>0</v>
      </c>
      <c r="AF228" s="68">
        <f>IF(B228&gt;0,IF(ISERROR(VLOOKUP(B228,Гнутые!$B$2:$C$15,2,0)),100,0),0)</f>
        <v>0</v>
      </c>
      <c r="AH228" s="68">
        <f>IF(D228=0,0,MATCH(VLOOKUP(I228,Гнутые!$E$3:$F$8,2,0),B228:C228,0))</f>
        <v>0</v>
      </c>
      <c r="AI228" s="68" t="e">
        <f>VLOOKUP(I228,Гнутые!$E$3:$F$8,2,0)</f>
        <v>#N/A</v>
      </c>
    </row>
    <row r="229" spans="1:35" s="50" customFormat="1" ht="15" customHeight="1" x14ac:dyDescent="0.2">
      <c r="A229" s="11">
        <v>7</v>
      </c>
      <c r="B229" s="23"/>
      <c r="C229" s="39"/>
      <c r="D229" s="24"/>
      <c r="E229" s="90"/>
      <c r="F229" s="91"/>
      <c r="G229" s="92"/>
      <c r="H229" s="93"/>
      <c r="I229" s="96"/>
      <c r="J229" s="28"/>
      <c r="K229" s="50" t="str">
        <f t="shared" si="11"/>
        <v/>
      </c>
      <c r="L229" s="83">
        <f t="shared" si="12"/>
        <v>0</v>
      </c>
      <c r="M229" s="80"/>
      <c r="N229" s="80"/>
      <c r="O229" s="80"/>
      <c r="P229" s="80"/>
      <c r="Q229" s="80"/>
      <c r="R229" s="80"/>
      <c r="S229" s="80"/>
      <c r="T229" s="80"/>
      <c r="U229" s="80"/>
      <c r="V229" s="80"/>
      <c r="W229" s="80"/>
      <c r="X229" s="80"/>
      <c r="Z229" s="68">
        <f>IF($E$222=0,0,HLOOKUP($E$222,Краски!$A$10:$N$47,$F$176+1,0))</f>
        <v>0</v>
      </c>
      <c r="AA229" s="68">
        <f>VLOOKUP($A$176,Патина!$A$2:$C$18,3,0)</f>
        <v>0</v>
      </c>
      <c r="AB229" s="68">
        <f>IF(SUM(B229:D229)&gt;0,VLOOKUP(F229,Фрезеровки!$H$3:$J$140,3,0),0)</f>
        <v>0</v>
      </c>
      <c r="AC229" s="72">
        <f t="shared" si="13"/>
        <v>0</v>
      </c>
      <c r="AD229" s="68">
        <f t="shared" si="14"/>
        <v>0</v>
      </c>
      <c r="AE229" s="69">
        <f t="shared" si="10"/>
        <v>0</v>
      </c>
      <c r="AF229" s="68">
        <f>IF(B229&gt;0,IF(ISERROR(VLOOKUP(B229,Гнутые!$B$2:$C$15,2,0)),100,0),0)</f>
        <v>0</v>
      </c>
      <c r="AH229" s="68">
        <f>IF(D229=0,0,MATCH(VLOOKUP(I229,Гнутые!$E$3:$F$8,2,0),B229:C229,0))</f>
        <v>0</v>
      </c>
      <c r="AI229" s="68" t="e">
        <f>VLOOKUP(I229,Гнутые!$E$3:$F$8,2,0)</f>
        <v>#N/A</v>
      </c>
    </row>
    <row r="230" spans="1:35" s="50" customFormat="1" ht="15" customHeight="1" x14ac:dyDescent="0.2">
      <c r="A230" s="11">
        <v>8</v>
      </c>
      <c r="B230" s="23"/>
      <c r="C230" s="39"/>
      <c r="D230" s="24"/>
      <c r="E230" s="90"/>
      <c r="F230" s="91"/>
      <c r="G230" s="92"/>
      <c r="H230" s="93"/>
      <c r="I230" s="96"/>
      <c r="J230" s="28"/>
      <c r="K230" s="50" t="str">
        <f t="shared" si="11"/>
        <v/>
      </c>
      <c r="L230" s="83">
        <f t="shared" si="12"/>
        <v>0</v>
      </c>
      <c r="M230" s="80"/>
      <c r="N230" s="80"/>
      <c r="O230" s="80"/>
      <c r="P230" s="80"/>
      <c r="Q230" s="80"/>
      <c r="R230" s="80"/>
      <c r="S230" s="80"/>
      <c r="T230" s="80"/>
      <c r="U230" s="80"/>
      <c r="V230" s="80"/>
      <c r="W230" s="80"/>
      <c r="X230" s="80"/>
      <c r="Z230" s="68">
        <f>IF($E$222=0,0,HLOOKUP($E$222,Краски!$A$10:$N$47,$F$176+1,0))</f>
        <v>0</v>
      </c>
      <c r="AA230" s="68">
        <f>VLOOKUP($A$176,Патина!$A$2:$C$18,3,0)</f>
        <v>0</v>
      </c>
      <c r="AB230" s="68">
        <f>IF(SUM(B230:D230)&gt;0,VLOOKUP(F230,Фрезеровки!$H$3:$J$140,3,0),0)</f>
        <v>0</v>
      </c>
      <c r="AC230" s="72">
        <f t="shared" si="13"/>
        <v>0</v>
      </c>
      <c r="AD230" s="68">
        <f t="shared" si="14"/>
        <v>0</v>
      </c>
      <c r="AE230" s="69">
        <f t="shared" si="10"/>
        <v>0</v>
      </c>
      <c r="AF230" s="68">
        <f>IF(B230&gt;0,IF(ISERROR(VLOOKUP(B230,Гнутые!$B$2:$C$15,2,0)),100,0),0)</f>
        <v>0</v>
      </c>
      <c r="AH230" s="68">
        <f>IF(D230=0,0,MATCH(VLOOKUP(I230,Гнутые!$E$3:$F$8,2,0),B230:C230,0))</f>
        <v>0</v>
      </c>
      <c r="AI230" s="68" t="e">
        <f>VLOOKUP(I230,Гнутые!$E$3:$F$8,2,0)</f>
        <v>#N/A</v>
      </c>
    </row>
    <row r="231" spans="1:35" s="50" customFormat="1" ht="15" customHeight="1" x14ac:dyDescent="0.2">
      <c r="A231" s="11">
        <v>9</v>
      </c>
      <c r="B231" s="23"/>
      <c r="C231" s="39"/>
      <c r="D231" s="24"/>
      <c r="E231" s="90"/>
      <c r="F231" s="91"/>
      <c r="G231" s="92"/>
      <c r="H231" s="93"/>
      <c r="I231" s="96"/>
      <c r="J231" s="28"/>
      <c r="K231" s="50" t="str">
        <f t="shared" si="11"/>
        <v/>
      </c>
      <c r="L231" s="83">
        <f t="shared" si="12"/>
        <v>0</v>
      </c>
      <c r="M231" s="80"/>
      <c r="N231" s="80"/>
      <c r="O231" s="80"/>
      <c r="P231" s="80"/>
      <c r="Q231" s="80"/>
      <c r="R231" s="80"/>
      <c r="S231" s="80"/>
      <c r="T231" s="80"/>
      <c r="U231" s="80"/>
      <c r="V231" s="80"/>
      <c r="W231" s="80"/>
      <c r="X231" s="80"/>
      <c r="Z231" s="68">
        <f>IF($E$222=0,0,HLOOKUP($E$222,Краски!$A$10:$N$47,$F$176+1,0))</f>
        <v>0</v>
      </c>
      <c r="AA231" s="68">
        <f>VLOOKUP($A$176,Патина!$A$2:$C$18,3,0)</f>
        <v>0</v>
      </c>
      <c r="AB231" s="68">
        <f>IF(SUM(B231:D231)&gt;0,VLOOKUP(F231,Фрезеровки!$H$3:$J$140,3,0),0)</f>
        <v>0</v>
      </c>
      <c r="AC231" s="72">
        <f t="shared" si="13"/>
        <v>0</v>
      </c>
      <c r="AD231" s="68">
        <f t="shared" si="14"/>
        <v>0</v>
      </c>
      <c r="AE231" s="69">
        <f t="shared" si="10"/>
        <v>0</v>
      </c>
      <c r="AF231" s="68">
        <f>IF(B231&gt;0,IF(ISERROR(VLOOKUP(B231,Гнутые!$B$2:$C$15,2,0)),100,0),0)</f>
        <v>0</v>
      </c>
      <c r="AH231" s="68">
        <f>IF(D231=0,0,MATCH(VLOOKUP(I231,Гнутые!$E$3:$F$8,2,0),B231:C231,0))</f>
        <v>0</v>
      </c>
      <c r="AI231" s="68" t="e">
        <f>VLOOKUP(I231,Гнутые!$E$3:$F$8,2,0)</f>
        <v>#N/A</v>
      </c>
    </row>
    <row r="232" spans="1:35" s="50" customFormat="1" ht="15" customHeight="1" x14ac:dyDescent="0.2">
      <c r="A232" s="11">
        <v>10</v>
      </c>
      <c r="B232" s="23"/>
      <c r="C232" s="39"/>
      <c r="D232" s="24"/>
      <c r="E232" s="90"/>
      <c r="F232" s="91"/>
      <c r="G232" s="92"/>
      <c r="H232" s="93"/>
      <c r="I232" s="96"/>
      <c r="J232" s="28"/>
      <c r="K232" s="50" t="str">
        <f t="shared" si="11"/>
        <v/>
      </c>
      <c r="L232" s="83">
        <f t="shared" si="12"/>
        <v>0</v>
      </c>
      <c r="M232" s="80"/>
      <c r="N232" s="80"/>
      <c r="O232" s="80"/>
      <c r="P232" s="80"/>
      <c r="Q232" s="80"/>
      <c r="R232" s="80"/>
      <c r="S232" s="80"/>
      <c r="T232" s="80"/>
      <c r="U232" s="80"/>
      <c r="V232" s="80"/>
      <c r="W232" s="80"/>
      <c r="X232" s="80"/>
      <c r="Z232" s="68">
        <f>IF($E$222=0,0,HLOOKUP($E$222,Краски!$A$10:$N$47,$F$176+1,0))</f>
        <v>0</v>
      </c>
      <c r="AA232" s="68">
        <f>VLOOKUP($A$176,Патина!$A$2:$C$18,3,0)</f>
        <v>0</v>
      </c>
      <c r="AB232" s="68">
        <f>IF(SUM(B232:D232)&gt;0,VLOOKUP(F232,Фрезеровки!$H$3:$J$140,3,0),0)</f>
        <v>0</v>
      </c>
      <c r="AC232" s="72">
        <f t="shared" si="13"/>
        <v>0</v>
      </c>
      <c r="AD232" s="68">
        <f t="shared" si="14"/>
        <v>0</v>
      </c>
      <c r="AE232" s="69">
        <f t="shared" si="10"/>
        <v>0</v>
      </c>
      <c r="AF232" s="68">
        <f>IF(B232&gt;0,IF(ISERROR(VLOOKUP(B232,Гнутые!$B$2:$C$15,2,0)),100,0),0)</f>
        <v>0</v>
      </c>
      <c r="AH232" s="68">
        <f>IF(D232=0,0,MATCH(VLOOKUP(I232,Гнутые!$E$3:$F$8,2,0),B232:C232,0))</f>
        <v>0</v>
      </c>
      <c r="AI232" s="68" t="e">
        <f>VLOOKUP(I232,Гнутые!$E$3:$F$8,2,0)</f>
        <v>#N/A</v>
      </c>
    </row>
    <row r="233" spans="1:35" s="50" customFormat="1" ht="15.75" customHeight="1" x14ac:dyDescent="0.2">
      <c r="A233" s="201" t="s">
        <v>350</v>
      </c>
      <c r="B233" s="201"/>
      <c r="C233" s="202"/>
      <c r="D233" s="30">
        <f>SUM(D223:D232)</f>
        <v>0</v>
      </c>
      <c r="E233" s="36" t="s">
        <v>4</v>
      </c>
      <c r="F233" s="32" t="s">
        <v>351</v>
      </c>
      <c r="G233" s="33"/>
      <c r="H233" s="34">
        <f>SUM(AD223:AD232)</f>
        <v>0</v>
      </c>
      <c r="I233" s="33" t="s">
        <v>352</v>
      </c>
      <c r="J233" s="46">
        <f>IF(K222="Толщина",#N/A,IF(AC233&gt;0,"#Н/Д",IF(ISNA(AH233),"#Н/Д",AE233)))</f>
        <v>0</v>
      </c>
      <c r="L233" s="84">
        <f>IF(SUM($D$223:$D$232)&gt;0,"--- Скрыть пустые строки ---",)</f>
        <v>0</v>
      </c>
      <c r="M233" s="81"/>
      <c r="N233" s="81"/>
      <c r="O233" s="81"/>
      <c r="P233" s="81"/>
      <c r="Q233" s="81"/>
      <c r="R233" s="81"/>
      <c r="S233" s="81"/>
      <c r="T233" s="81"/>
      <c r="U233" s="81"/>
      <c r="V233" s="81"/>
      <c r="W233" s="81"/>
      <c r="X233" s="81"/>
      <c r="Z233" s="68"/>
      <c r="AA233" s="68"/>
      <c r="AB233" s="68"/>
      <c r="AC233" s="68">
        <f>SUM(AC223:AC232)</f>
        <v>0</v>
      </c>
      <c r="AD233" s="68"/>
      <c r="AE233" s="69">
        <f>SUM(AE223:AE232)</f>
        <v>0</v>
      </c>
      <c r="AF233" s="68"/>
      <c r="AH233" s="68">
        <f>SUM(AH223:AH232)</f>
        <v>0</v>
      </c>
    </row>
    <row r="234" spans="1:35" ht="6.75" customHeight="1" x14ac:dyDescent="0.2">
      <c r="A234" s="45"/>
      <c r="B234" s="45"/>
      <c r="C234" s="45"/>
      <c r="D234" s="45"/>
      <c r="E234" s="45"/>
      <c r="F234" s="45"/>
      <c r="G234" s="45"/>
      <c r="H234" s="45"/>
      <c r="I234" s="45"/>
      <c r="J234" s="45"/>
      <c r="L234" s="84">
        <f>IF(SUM($H$236:$H$245)&gt;0,"--- Скрыть пустые строки ---",)</f>
        <v>0</v>
      </c>
      <c r="M234" s="81"/>
      <c r="N234" s="81"/>
      <c r="O234" s="81"/>
      <c r="P234" s="81"/>
      <c r="Q234" s="81"/>
      <c r="R234" s="81"/>
      <c r="S234" s="81"/>
      <c r="T234" s="81"/>
      <c r="U234" s="81"/>
      <c r="V234" s="81"/>
      <c r="W234" s="81"/>
      <c r="X234" s="81"/>
    </row>
    <row r="235" spans="1:35" s="52" customFormat="1" ht="22.5" customHeight="1" x14ac:dyDescent="0.2">
      <c r="A235" s="14" t="s">
        <v>0</v>
      </c>
      <c r="B235" s="200" t="s">
        <v>354</v>
      </c>
      <c r="C235" s="200"/>
      <c r="D235" s="200"/>
      <c r="E235" s="200"/>
      <c r="F235" s="200"/>
      <c r="G235" s="15" t="s">
        <v>355</v>
      </c>
      <c r="H235" s="15" t="s">
        <v>341</v>
      </c>
      <c r="I235" s="15" t="s">
        <v>356</v>
      </c>
      <c r="J235" s="15" t="s">
        <v>347</v>
      </c>
      <c r="L235" s="84">
        <f>IF(SUM($H$236:$H$245)&gt;0,"--- Скрыть пустые строки ---",)</f>
        <v>0</v>
      </c>
      <c r="M235" s="81"/>
      <c r="N235" s="81"/>
      <c r="O235" s="81"/>
      <c r="P235" s="81"/>
      <c r="Q235" s="81"/>
      <c r="R235" s="81"/>
      <c r="S235" s="81"/>
      <c r="T235" s="81"/>
      <c r="U235" s="81"/>
      <c r="V235" s="81"/>
      <c r="W235" s="81"/>
      <c r="X235" s="81"/>
      <c r="Z235" s="73"/>
      <c r="AA235" s="73"/>
      <c r="AB235" s="73"/>
      <c r="AC235" s="73"/>
      <c r="AD235" s="73"/>
      <c r="AE235" s="74"/>
      <c r="AF235" s="73"/>
    </row>
    <row r="236" spans="1:35" s="50" customFormat="1" ht="15" customHeight="1" x14ac:dyDescent="0.2">
      <c r="A236" s="10">
        <v>1</v>
      </c>
      <c r="B236" s="176"/>
      <c r="C236" s="177"/>
      <c r="D236" s="177"/>
      <c r="E236" s="177"/>
      <c r="F236" s="178"/>
      <c r="G236" s="118" t="str">
        <f>IF(B236&gt;0,"шт","")</f>
        <v/>
      </c>
      <c r="H236" s="130"/>
      <c r="I236" s="97"/>
      <c r="J236" s="27"/>
      <c r="K236" s="50" t="str">
        <f>IF(H236&gt;0,IF(ISERR(AC236),"",IF(I236&gt;0,"","Радиус")),"")</f>
        <v/>
      </c>
      <c r="L236" s="83">
        <f>IF(SUM(H236:H236)&gt;0,"--- Скрыть пустые строки ---",)</f>
        <v>0</v>
      </c>
      <c r="M236" s="80"/>
      <c r="N236" s="80"/>
      <c r="O236" s="80"/>
      <c r="P236" s="80"/>
      <c r="Q236" s="80"/>
      <c r="R236" s="80"/>
      <c r="S236" s="80"/>
      <c r="T236" s="80"/>
      <c r="U236" s="80"/>
      <c r="V236" s="80"/>
      <c r="W236" s="80"/>
      <c r="X236" s="80"/>
      <c r="Z236" s="68">
        <f>IF(H236=0,0,VLOOKUP(B236,Фрезеровки!$M$4:$O$45,3,0))</f>
        <v>0</v>
      </c>
      <c r="AA236" s="68">
        <f>IF(H236=0,0,IF($A$176=1,0,HLOOKUP(VLOOKUP($A$176,Патина!$A$2:$D$18,4,0),Фрезеровки!$M$3:$S$45,VLOOKUP(B236,Фрезеровки!$M$4:$T$45,2,0),0)))</f>
        <v>0</v>
      </c>
      <c r="AB236" s="68"/>
      <c r="AC236" s="68" t="e">
        <f>FIND("гн",B236,1)</f>
        <v>#VALUE!</v>
      </c>
      <c r="AD236" s="68">
        <f>ROUND(IF(H236=0,0,VLOOKUP(B236,Фрезеровки!$M$4:$T$45,8,0)*H236),2)</f>
        <v>0</v>
      </c>
      <c r="AE236" s="69">
        <f>H236*(Z236+AA236+AB236)</f>
        <v>0</v>
      </c>
      <c r="AF236" s="68"/>
    </row>
    <row r="237" spans="1:35" s="50" customFormat="1" ht="15" customHeight="1" x14ac:dyDescent="0.2">
      <c r="A237" s="11">
        <v>2</v>
      </c>
      <c r="B237" s="179"/>
      <c r="C237" s="180"/>
      <c r="D237" s="180"/>
      <c r="E237" s="180"/>
      <c r="F237" s="181"/>
      <c r="G237" s="119" t="str">
        <f>IF(B237&gt;0,"шт","")</f>
        <v/>
      </c>
      <c r="H237" s="131"/>
      <c r="I237" s="96"/>
      <c r="J237" s="28"/>
      <c r="K237" s="50" t="str">
        <f>IF(H237&gt;0,IF(ISERR(AC237),"",IF(I237&gt;0,"","Радиус")),"")</f>
        <v/>
      </c>
      <c r="L237" s="83">
        <f>IF(SUM(H237:H237)&gt;0,"--- Скрыть пустые строки ---",)</f>
        <v>0</v>
      </c>
      <c r="M237" s="80"/>
      <c r="N237" s="80"/>
      <c r="O237" s="80"/>
      <c r="P237" s="80"/>
      <c r="Q237" s="80"/>
      <c r="R237" s="80"/>
      <c r="S237" s="80"/>
      <c r="T237" s="80"/>
      <c r="U237" s="80"/>
      <c r="V237" s="80"/>
      <c r="W237" s="80"/>
      <c r="X237" s="80"/>
      <c r="Z237" s="68">
        <f>IF(H237=0,0,VLOOKUP(B237,Фрезеровки!$M$4:$O$45,3,0))</f>
        <v>0</v>
      </c>
      <c r="AA237" s="68">
        <f>IF(H237=0,0,IF($A$176=1,0,HLOOKUP(VLOOKUP($A$176,Патина!$A$2:$D$18,4,0),Фрезеровки!$M$3:$S$45,VLOOKUP(B237,Фрезеровки!$M$4:$T$45,2,0),0)))</f>
        <v>0</v>
      </c>
      <c r="AB237" s="68"/>
      <c r="AC237" s="68" t="e">
        <f>FIND("гн",B237,1)</f>
        <v>#VALUE!</v>
      </c>
      <c r="AD237" s="68">
        <f>ROUND(IF(H237=0,0,VLOOKUP(B237,Фрезеровки!$M$4:$T$45,8,0)*H237),2)</f>
        <v>0</v>
      </c>
      <c r="AE237" s="69">
        <f>H237*(Z237+AA237+AB237)</f>
        <v>0</v>
      </c>
      <c r="AF237" s="68"/>
    </row>
    <row r="238" spans="1:35" s="50" customFormat="1" ht="15" customHeight="1" x14ac:dyDescent="0.2">
      <c r="A238" s="11">
        <v>3</v>
      </c>
      <c r="B238" s="179"/>
      <c r="C238" s="180"/>
      <c r="D238" s="180"/>
      <c r="E238" s="180"/>
      <c r="F238" s="181"/>
      <c r="G238" s="119" t="str">
        <f t="shared" ref="G238:G245" si="15">IF(B238&gt;0,"шт","")</f>
        <v/>
      </c>
      <c r="H238" s="131"/>
      <c r="I238" s="96"/>
      <c r="J238" s="28"/>
      <c r="K238" s="50" t="str">
        <f t="shared" ref="K238:K245" si="16">IF(H238&gt;0,IF(ISERR(AC238),"",IF(I238&gt;0,"","Радиус")),"")</f>
        <v/>
      </c>
      <c r="L238" s="83">
        <f t="shared" ref="L238:L245" si="17">IF(SUM(H238:H238)&gt;0,"--- Скрыть пустые строки ---",)</f>
        <v>0</v>
      </c>
      <c r="M238" s="80"/>
      <c r="N238" s="80"/>
      <c r="O238" s="80"/>
      <c r="P238" s="80"/>
      <c r="Q238" s="80"/>
      <c r="R238" s="80"/>
      <c r="S238" s="80"/>
      <c r="T238" s="80"/>
      <c r="U238" s="80"/>
      <c r="V238" s="80"/>
      <c r="W238" s="80"/>
      <c r="X238" s="80"/>
      <c r="Z238" s="68">
        <f>IF(H238=0,0,VLOOKUP(B238,Фрезеровки!$M$4:$O$45,3,0))</f>
        <v>0</v>
      </c>
      <c r="AA238" s="68">
        <f>IF(H238=0,0,IF($A$176=1,0,HLOOKUP(VLOOKUP($A$176,Патина!$A$2:$D$18,4,0),Фрезеровки!$M$3:$S$45,VLOOKUP(B238,Фрезеровки!$M$4:$T$45,2,0),0)))</f>
        <v>0</v>
      </c>
      <c r="AB238" s="68"/>
      <c r="AC238" s="68" t="e">
        <f t="shared" ref="AC238:AC245" si="18">FIND("гн",B238,1)</f>
        <v>#VALUE!</v>
      </c>
      <c r="AD238" s="68">
        <f>ROUND(IF(H238=0,0,VLOOKUP(B238,Фрезеровки!$M$4:$T$45,8,0)*H238),2)</f>
        <v>0</v>
      </c>
      <c r="AE238" s="69">
        <f t="shared" ref="AE238:AE245" si="19">H238*(Z238+AA238+AB238)</f>
        <v>0</v>
      </c>
      <c r="AF238" s="68"/>
    </row>
    <row r="239" spans="1:35" s="50" customFormat="1" ht="15" customHeight="1" x14ac:dyDescent="0.2">
      <c r="A239" s="11">
        <v>4</v>
      </c>
      <c r="B239" s="179"/>
      <c r="C239" s="180"/>
      <c r="D239" s="180"/>
      <c r="E239" s="180"/>
      <c r="F239" s="181"/>
      <c r="G239" s="119" t="str">
        <f t="shared" si="15"/>
        <v/>
      </c>
      <c r="H239" s="131"/>
      <c r="I239" s="96"/>
      <c r="J239" s="28"/>
      <c r="K239" s="50" t="str">
        <f t="shared" si="16"/>
        <v/>
      </c>
      <c r="L239" s="83">
        <f t="shared" si="17"/>
        <v>0</v>
      </c>
      <c r="M239" s="80"/>
      <c r="N239" s="80"/>
      <c r="O239" s="80"/>
      <c r="P239" s="80"/>
      <c r="Q239" s="80"/>
      <c r="R239" s="80"/>
      <c r="S239" s="80"/>
      <c r="T239" s="80"/>
      <c r="U239" s="80"/>
      <c r="V239" s="80"/>
      <c r="W239" s="80"/>
      <c r="X239" s="80"/>
      <c r="Z239" s="68">
        <f>IF(H239=0,0,VLOOKUP(B239,Фрезеровки!$M$4:$O$45,3,0))</f>
        <v>0</v>
      </c>
      <c r="AA239" s="68">
        <f>IF(H239=0,0,IF($A$176=1,0,HLOOKUP(VLOOKUP($A$176,Патина!$A$2:$D$18,4,0),Фрезеровки!$M$3:$S$45,VLOOKUP(B239,Фрезеровки!$M$4:$T$45,2,0),0)))</f>
        <v>0</v>
      </c>
      <c r="AB239" s="68"/>
      <c r="AC239" s="68" t="e">
        <f t="shared" si="18"/>
        <v>#VALUE!</v>
      </c>
      <c r="AD239" s="68">
        <f>ROUND(IF(H239=0,0,VLOOKUP(B239,Фрезеровки!$M$4:$T$45,8,0)*H239),2)</f>
        <v>0</v>
      </c>
      <c r="AE239" s="69">
        <f t="shared" si="19"/>
        <v>0</v>
      </c>
      <c r="AF239" s="68"/>
    </row>
    <row r="240" spans="1:35" s="50" customFormat="1" ht="15" customHeight="1" x14ac:dyDescent="0.2">
      <c r="A240" s="11">
        <v>5</v>
      </c>
      <c r="B240" s="179"/>
      <c r="C240" s="180"/>
      <c r="D240" s="180"/>
      <c r="E240" s="180"/>
      <c r="F240" s="181"/>
      <c r="G240" s="119" t="str">
        <f t="shared" si="15"/>
        <v/>
      </c>
      <c r="H240" s="131"/>
      <c r="I240" s="96"/>
      <c r="J240" s="28"/>
      <c r="K240" s="50" t="str">
        <f t="shared" si="16"/>
        <v/>
      </c>
      <c r="L240" s="83">
        <f t="shared" si="17"/>
        <v>0</v>
      </c>
      <c r="M240" s="80"/>
      <c r="N240" s="80"/>
      <c r="O240" s="80"/>
      <c r="P240" s="80"/>
      <c r="Q240" s="80"/>
      <c r="R240" s="80"/>
      <c r="S240" s="80"/>
      <c r="T240" s="80"/>
      <c r="U240" s="80"/>
      <c r="V240" s="80"/>
      <c r="W240" s="80"/>
      <c r="X240" s="80"/>
      <c r="Z240" s="68">
        <f>IF(H240=0,0,VLOOKUP(B240,Фрезеровки!$M$4:$O$45,3,0))</f>
        <v>0</v>
      </c>
      <c r="AA240" s="68">
        <f>IF(H240=0,0,IF($A$176=1,0,HLOOKUP(VLOOKUP($A$176,Патина!$A$2:$D$18,4,0),Фрезеровки!$M$3:$S$45,VLOOKUP(B240,Фрезеровки!$M$4:$T$45,2,0),0)))</f>
        <v>0</v>
      </c>
      <c r="AB240" s="68"/>
      <c r="AC240" s="68" t="e">
        <f t="shared" si="18"/>
        <v>#VALUE!</v>
      </c>
      <c r="AD240" s="68">
        <f>ROUND(IF(H240=0,0,VLOOKUP(B240,Фрезеровки!$M$4:$T$45,8,0)*H240),2)</f>
        <v>0</v>
      </c>
      <c r="AE240" s="69">
        <f t="shared" si="19"/>
        <v>0</v>
      </c>
      <c r="AF240" s="68"/>
    </row>
    <row r="241" spans="1:32" s="50" customFormat="1" ht="15" customHeight="1" x14ac:dyDescent="0.2">
      <c r="A241" s="11">
        <v>6</v>
      </c>
      <c r="B241" s="179"/>
      <c r="C241" s="180"/>
      <c r="D241" s="180"/>
      <c r="E241" s="180"/>
      <c r="F241" s="181"/>
      <c r="G241" s="119" t="str">
        <f t="shared" si="15"/>
        <v/>
      </c>
      <c r="H241" s="131"/>
      <c r="I241" s="96"/>
      <c r="J241" s="28"/>
      <c r="K241" s="50" t="str">
        <f t="shared" si="16"/>
        <v/>
      </c>
      <c r="L241" s="83">
        <f t="shared" si="17"/>
        <v>0</v>
      </c>
      <c r="M241" s="80"/>
      <c r="N241" s="80"/>
      <c r="O241" s="80"/>
      <c r="P241" s="80"/>
      <c r="Q241" s="80"/>
      <c r="R241" s="80"/>
      <c r="S241" s="80"/>
      <c r="T241" s="80"/>
      <c r="U241" s="80"/>
      <c r="V241" s="80"/>
      <c r="W241" s="80"/>
      <c r="X241" s="80"/>
      <c r="Z241" s="68">
        <f>IF(H241=0,0,VLOOKUP(B241,Фрезеровки!$M$4:$O$45,3,0))</f>
        <v>0</v>
      </c>
      <c r="AA241" s="68">
        <f>IF(H241=0,0,IF($A$176=1,0,HLOOKUP(VLOOKUP($A$176,Патина!$A$2:$D$18,4,0),Фрезеровки!$M$3:$S$45,VLOOKUP(B241,Фрезеровки!$M$4:$T$45,2,0),0)))</f>
        <v>0</v>
      </c>
      <c r="AB241" s="68"/>
      <c r="AC241" s="68" t="e">
        <f t="shared" si="18"/>
        <v>#VALUE!</v>
      </c>
      <c r="AD241" s="68">
        <f>ROUND(IF(H241=0,0,VLOOKUP(B241,Фрезеровки!$M$4:$T$45,8,0)*H241),2)</f>
        <v>0</v>
      </c>
      <c r="AE241" s="69">
        <f t="shared" si="19"/>
        <v>0</v>
      </c>
      <c r="AF241" s="68"/>
    </row>
    <row r="242" spans="1:32" s="50" customFormat="1" ht="15" customHeight="1" x14ac:dyDescent="0.2">
      <c r="A242" s="11">
        <v>7</v>
      </c>
      <c r="B242" s="179"/>
      <c r="C242" s="180"/>
      <c r="D242" s="180"/>
      <c r="E242" s="180"/>
      <c r="F242" s="181"/>
      <c r="G242" s="119" t="str">
        <f t="shared" si="15"/>
        <v/>
      </c>
      <c r="H242" s="131"/>
      <c r="I242" s="96"/>
      <c r="J242" s="28"/>
      <c r="K242" s="50" t="str">
        <f t="shared" si="16"/>
        <v/>
      </c>
      <c r="L242" s="83">
        <f t="shared" si="17"/>
        <v>0</v>
      </c>
      <c r="M242" s="80"/>
      <c r="N242" s="80"/>
      <c r="O242" s="80"/>
      <c r="P242" s="80"/>
      <c r="Q242" s="80"/>
      <c r="R242" s="80"/>
      <c r="S242" s="80"/>
      <c r="T242" s="80"/>
      <c r="U242" s="80"/>
      <c r="V242" s="80"/>
      <c r="W242" s="80"/>
      <c r="X242" s="80"/>
      <c r="Z242" s="68">
        <f>IF(H242=0,0,VLOOKUP(B242,Фрезеровки!$M$4:$O$45,3,0))</f>
        <v>0</v>
      </c>
      <c r="AA242" s="68">
        <f>IF(H242=0,0,IF($A$176=1,0,HLOOKUP(VLOOKUP($A$176,Патина!$A$2:$D$18,4,0),Фрезеровки!$M$3:$S$45,VLOOKUP(B242,Фрезеровки!$M$4:$T$45,2,0),0)))</f>
        <v>0</v>
      </c>
      <c r="AB242" s="68"/>
      <c r="AC242" s="68" t="e">
        <f t="shared" si="18"/>
        <v>#VALUE!</v>
      </c>
      <c r="AD242" s="68">
        <f>ROUND(IF(H242=0,0,VLOOKUP(B242,Фрезеровки!$M$4:$T$45,8,0)*H242),2)</f>
        <v>0</v>
      </c>
      <c r="AE242" s="69">
        <f t="shared" si="19"/>
        <v>0</v>
      </c>
      <c r="AF242" s="68"/>
    </row>
    <row r="243" spans="1:32" s="50" customFormat="1" ht="15" customHeight="1" x14ac:dyDescent="0.2">
      <c r="A243" s="11">
        <v>8</v>
      </c>
      <c r="B243" s="179"/>
      <c r="C243" s="180"/>
      <c r="D243" s="180"/>
      <c r="E243" s="180"/>
      <c r="F243" s="181"/>
      <c r="G243" s="119" t="str">
        <f t="shared" si="15"/>
        <v/>
      </c>
      <c r="H243" s="131"/>
      <c r="I243" s="96"/>
      <c r="J243" s="28"/>
      <c r="K243" s="50" t="str">
        <f t="shared" si="16"/>
        <v/>
      </c>
      <c r="L243" s="83">
        <f t="shared" si="17"/>
        <v>0</v>
      </c>
      <c r="M243" s="80"/>
      <c r="N243" s="80"/>
      <c r="O243" s="80"/>
      <c r="P243" s="80"/>
      <c r="Q243" s="80"/>
      <c r="R243" s="80"/>
      <c r="S243" s="80"/>
      <c r="T243" s="80"/>
      <c r="U243" s="80"/>
      <c r="V243" s="80"/>
      <c r="W243" s="80"/>
      <c r="X243" s="80"/>
      <c r="Z243" s="68">
        <f>IF(H243=0,0,VLOOKUP(B243,Фрезеровки!$M$4:$O$45,3,0))</f>
        <v>0</v>
      </c>
      <c r="AA243" s="68">
        <f>IF(H243=0,0,IF($A$176=1,0,HLOOKUP(VLOOKUP($A$176,Патина!$A$2:$D$18,4,0),Фрезеровки!$M$3:$S$45,VLOOKUP(B243,Фрезеровки!$M$4:$T$45,2,0),0)))</f>
        <v>0</v>
      </c>
      <c r="AB243" s="68"/>
      <c r="AC243" s="68" t="e">
        <f t="shared" si="18"/>
        <v>#VALUE!</v>
      </c>
      <c r="AD243" s="68">
        <f>ROUND(IF(H243=0,0,VLOOKUP(B243,Фрезеровки!$M$4:$T$45,8,0)*H243),2)</f>
        <v>0</v>
      </c>
      <c r="AE243" s="69">
        <f t="shared" si="19"/>
        <v>0</v>
      </c>
      <c r="AF243" s="68"/>
    </row>
    <row r="244" spans="1:32" s="50" customFormat="1" ht="15" customHeight="1" x14ac:dyDescent="0.2">
      <c r="A244" s="11">
        <v>9</v>
      </c>
      <c r="B244" s="179"/>
      <c r="C244" s="180"/>
      <c r="D244" s="180"/>
      <c r="E244" s="180"/>
      <c r="F244" s="181"/>
      <c r="G244" s="119" t="str">
        <f t="shared" si="15"/>
        <v/>
      </c>
      <c r="H244" s="131"/>
      <c r="I244" s="96"/>
      <c r="J244" s="28"/>
      <c r="K244" s="50" t="str">
        <f t="shared" si="16"/>
        <v/>
      </c>
      <c r="L244" s="83">
        <f t="shared" si="17"/>
        <v>0</v>
      </c>
      <c r="M244" s="80"/>
      <c r="N244" s="80"/>
      <c r="O244" s="80"/>
      <c r="P244" s="80"/>
      <c r="Q244" s="80"/>
      <c r="R244" s="80"/>
      <c r="S244" s="80"/>
      <c r="T244" s="80"/>
      <c r="U244" s="80"/>
      <c r="V244" s="80"/>
      <c r="W244" s="80"/>
      <c r="X244" s="80"/>
      <c r="Z244" s="68">
        <f>IF(H244=0,0,VLOOKUP(B244,Фрезеровки!$M$4:$O$45,3,0))</f>
        <v>0</v>
      </c>
      <c r="AA244" s="68">
        <f>IF(H244=0,0,IF($A$176=1,0,HLOOKUP(VLOOKUP($A$176,Патина!$A$2:$D$18,4,0),Фрезеровки!$M$3:$S$45,VLOOKUP(B244,Фрезеровки!$M$4:$T$45,2,0),0)))</f>
        <v>0</v>
      </c>
      <c r="AB244" s="68"/>
      <c r="AC244" s="68" t="e">
        <f t="shared" si="18"/>
        <v>#VALUE!</v>
      </c>
      <c r="AD244" s="68">
        <f>ROUND(IF(H244=0,0,VLOOKUP(B244,Фрезеровки!$M$4:$T$45,8,0)*H244),2)</f>
        <v>0</v>
      </c>
      <c r="AE244" s="69">
        <f t="shared" si="19"/>
        <v>0</v>
      </c>
      <c r="AF244" s="68"/>
    </row>
    <row r="245" spans="1:32" s="50" customFormat="1" ht="15" customHeight="1" x14ac:dyDescent="0.2">
      <c r="A245" s="12">
        <v>10</v>
      </c>
      <c r="B245" s="204"/>
      <c r="C245" s="205"/>
      <c r="D245" s="205"/>
      <c r="E245" s="205"/>
      <c r="F245" s="206"/>
      <c r="G245" s="120" t="str">
        <f t="shared" si="15"/>
        <v/>
      </c>
      <c r="H245" s="132"/>
      <c r="I245" s="98"/>
      <c r="J245" s="29"/>
      <c r="K245" s="50" t="str">
        <f t="shared" si="16"/>
        <v/>
      </c>
      <c r="L245" s="83">
        <f t="shared" si="17"/>
        <v>0</v>
      </c>
      <c r="M245" s="80"/>
      <c r="N245" s="80"/>
      <c r="O245" s="80"/>
      <c r="P245" s="80"/>
      <c r="Q245" s="80"/>
      <c r="R245" s="80"/>
      <c r="S245" s="80"/>
      <c r="T245" s="80"/>
      <c r="U245" s="80"/>
      <c r="V245" s="80"/>
      <c r="W245" s="80"/>
      <c r="X245" s="80"/>
      <c r="Z245" s="68">
        <f>IF(H245=0,0,VLOOKUP(B245,Фрезеровки!$M$4:$O$45,3,0))</f>
        <v>0</v>
      </c>
      <c r="AA245" s="68">
        <f>IF(H245=0,0,IF($A$176=1,0,HLOOKUP(VLOOKUP($A$176,Патина!$A$2:$D$18,4,0),Фрезеровки!$M$3:$S$45,VLOOKUP(B245,Фрезеровки!$M$4:$T$45,2,0),0)))</f>
        <v>0</v>
      </c>
      <c r="AB245" s="68"/>
      <c r="AC245" s="68" t="e">
        <f t="shared" si="18"/>
        <v>#VALUE!</v>
      </c>
      <c r="AD245" s="68">
        <f>ROUND(IF(H245=0,0,VLOOKUP(B245,Фрезеровки!$M$4:$T$45,8,0)*H245),2)</f>
        <v>0</v>
      </c>
      <c r="AE245" s="69">
        <f t="shared" si="19"/>
        <v>0</v>
      </c>
      <c r="AF245" s="68"/>
    </row>
    <row r="246" spans="1:32" s="50" customFormat="1" ht="15.75" customHeight="1" x14ac:dyDescent="0.2">
      <c r="A246" s="201" t="s">
        <v>350</v>
      </c>
      <c r="B246" s="201"/>
      <c r="C246" s="202"/>
      <c r="D246" s="17">
        <f>SUM(H236:H245)</f>
        <v>0</v>
      </c>
      <c r="E246" s="16" t="s">
        <v>4</v>
      </c>
      <c r="F246" s="37" t="s">
        <v>351</v>
      </c>
      <c r="G246" s="37"/>
      <c r="H246" s="38">
        <f>SUM(AD236:AD245)</f>
        <v>0</v>
      </c>
      <c r="I246" s="33" t="s">
        <v>352</v>
      </c>
      <c r="J246" s="35">
        <f>SUM(AE236:AE245)</f>
        <v>0</v>
      </c>
      <c r="L246" s="84">
        <f>IF(SUM($H$236:$H$245)&gt;0,"--- Скрыть пустые строки ---",)</f>
        <v>0</v>
      </c>
      <c r="M246" s="81"/>
      <c r="N246" s="81"/>
      <c r="O246" s="81"/>
      <c r="P246" s="81"/>
      <c r="Q246" s="81"/>
      <c r="R246" s="81"/>
      <c r="S246" s="81"/>
      <c r="T246" s="81"/>
      <c r="U246" s="81"/>
      <c r="V246" s="81"/>
      <c r="W246" s="81"/>
      <c r="X246" s="81"/>
      <c r="Z246" s="68"/>
      <c r="AA246" s="68"/>
      <c r="AB246" s="68"/>
      <c r="AC246" s="68"/>
      <c r="AD246" s="68"/>
      <c r="AE246" s="69"/>
      <c r="AF246" s="68"/>
    </row>
    <row r="247" spans="1:32" x14ac:dyDescent="0.2">
      <c r="A247"/>
      <c r="B247"/>
      <c r="C247"/>
      <c r="D247"/>
      <c r="E247"/>
      <c r="F247"/>
      <c r="G247"/>
      <c r="H247"/>
      <c r="I247"/>
      <c r="J247"/>
      <c r="L247" s="85"/>
    </row>
    <row r="248" spans="1:32" x14ac:dyDescent="0.2">
      <c r="A248"/>
      <c r="B248"/>
      <c r="C248"/>
      <c r="D248"/>
      <c r="E248"/>
      <c r="F248"/>
      <c r="G248"/>
      <c r="H248"/>
      <c r="I248" s="112">
        <f>IF(J248=0,,"Доплата за площадь заказа менее 1м.кв.:")</f>
        <v>0</v>
      </c>
      <c r="J248" s="111">
        <f>IF(AD250=0,0,IF(AD250&lt;1,(1-AD250)*AE248,0))</f>
        <v>0</v>
      </c>
      <c r="L248" s="85"/>
      <c r="AE248" s="140" t="e">
        <f>HLOOKUP(16,Краски!$A$10:$N$47,$F$176+1,0)+VLOOKUP($A$176,Патина!$A$2:$C$18,3,0)</f>
        <v>#VALUE!</v>
      </c>
      <c r="AF248" s="141" t="s">
        <v>278</v>
      </c>
    </row>
    <row r="249" spans="1:32" ht="13.5" thickBot="1" x14ac:dyDescent="0.25">
      <c r="A249"/>
      <c r="B249"/>
      <c r="C249"/>
      <c r="D249"/>
      <c r="E249"/>
      <c r="F249"/>
      <c r="G249"/>
      <c r="H249"/>
      <c r="I249"/>
      <c r="J249"/>
      <c r="L249" s="85"/>
    </row>
    <row r="250" spans="1:32" s="53" customFormat="1" ht="18.75" customHeight="1" thickBot="1" x14ac:dyDescent="0.3">
      <c r="A250" s="5"/>
      <c r="B250" s="107" t="str">
        <f>Краски!B1</f>
        <v>Прайс-лист від 13.10.2025</v>
      </c>
      <c r="C250" s="5"/>
      <c r="D250" s="5"/>
      <c r="E250" s="5"/>
      <c r="F250" s="5"/>
      <c r="G250" s="5"/>
      <c r="H250" s="5"/>
      <c r="I250" s="22" t="s">
        <v>110</v>
      </c>
      <c r="J250" s="18">
        <f>J219+J233+J246+J248</f>
        <v>0</v>
      </c>
      <c r="L250" s="54"/>
      <c r="M250" s="77"/>
      <c r="N250" s="77"/>
      <c r="O250" s="77"/>
      <c r="P250" s="77"/>
      <c r="Q250" s="77"/>
      <c r="R250" s="77"/>
      <c r="S250" s="77"/>
      <c r="T250" s="77"/>
      <c r="U250" s="77"/>
      <c r="V250" s="77"/>
      <c r="W250" s="77"/>
      <c r="X250" s="77"/>
      <c r="Z250" s="75"/>
      <c r="AA250" s="75"/>
      <c r="AB250" s="75"/>
      <c r="AC250" s="75"/>
      <c r="AD250" s="75">
        <f>SUM(AD180:AD246)</f>
        <v>0</v>
      </c>
    </row>
  </sheetData>
  <sheetProtection autoFilter="0"/>
  <autoFilter ref="L178:L246" xr:uid="{00000000-0009-0000-0000-000000000000}"/>
  <mergeCells count="27">
    <mergeCell ref="A176:D176"/>
    <mergeCell ref="A246:C246"/>
    <mergeCell ref="B245:F245"/>
    <mergeCell ref="B238:F238"/>
    <mergeCell ref="B242:F242"/>
    <mergeCell ref="B243:F243"/>
    <mergeCell ref="B244:F244"/>
    <mergeCell ref="B239:F239"/>
    <mergeCell ref="B240:F240"/>
    <mergeCell ref="B241:F241"/>
    <mergeCell ref="A219:C219"/>
    <mergeCell ref="A170:B170"/>
    <mergeCell ref="B236:F236"/>
    <mergeCell ref="B237:F237"/>
    <mergeCell ref="H168:J168"/>
    <mergeCell ref="A222:B222"/>
    <mergeCell ref="C172:F172"/>
    <mergeCell ref="C170:F170"/>
    <mergeCell ref="D168:E168"/>
    <mergeCell ref="A210:B210"/>
    <mergeCell ref="C173:F173"/>
    <mergeCell ref="G176:I176"/>
    <mergeCell ref="H172:I173"/>
    <mergeCell ref="J172:J173"/>
    <mergeCell ref="A179:B179"/>
    <mergeCell ref="B235:F235"/>
    <mergeCell ref="A233:C233"/>
  </mergeCells>
  <phoneticPr fontId="3" type="noConversion"/>
  <conditionalFormatting sqref="F223:H232">
    <cfRule type="expression" dxfId="9" priority="1" stopIfTrue="1">
      <formula>$K223="Рисунок"</formula>
    </cfRule>
  </conditionalFormatting>
  <conditionalFormatting sqref="B223:B232">
    <cfRule type="expression" dxfId="8" priority="2" stopIfTrue="1">
      <formula>$AF223&gt;0</formula>
    </cfRule>
  </conditionalFormatting>
  <conditionalFormatting sqref="F211:K218 F180:K209">
    <cfRule type="expression" dxfId="7" priority="3" stopIfTrue="1">
      <formula>$K180="Рисунок"</formula>
    </cfRule>
    <cfRule type="expression" dxfId="6" priority="4" stopIfTrue="1">
      <formula>$K180="Тип покраски"</formula>
    </cfRule>
  </conditionalFormatting>
  <conditionalFormatting sqref="I236:K245">
    <cfRule type="expression" dxfId="5" priority="5" stopIfTrue="1">
      <formula>$K236="Радиус"</formula>
    </cfRule>
  </conditionalFormatting>
  <conditionalFormatting sqref="I223:K232">
    <cfRule type="expression" dxfId="4" priority="6" stopIfTrue="1">
      <formula>$K223="Рисунок"</formula>
    </cfRule>
    <cfRule type="expression" dxfId="3" priority="7" stopIfTrue="1">
      <formula>$K223="Радиус"</formula>
    </cfRule>
    <cfRule type="expression" dxfId="2" priority="8" stopIfTrue="1">
      <formula>ISNA($AH223)</formula>
    </cfRule>
  </conditionalFormatting>
  <conditionalFormatting sqref="I248:J248">
    <cfRule type="expression" dxfId="1" priority="9" stopIfTrue="1">
      <formula>$J$248=0</formula>
    </cfRule>
  </conditionalFormatting>
  <conditionalFormatting sqref="E222:K222">
    <cfRule type="expression" dxfId="0" priority="10" stopIfTrue="1">
      <formula>$K$222="Толщина"</formula>
    </cfRule>
  </conditionalFormatting>
  <dataValidations count="17">
    <dataValidation type="list" allowBlank="1" showInputMessage="1" showErrorMessage="1" sqref="E223:E232 E211:E218 E180:E209" xr:uid="{00000000-0002-0000-0000-000000000000}">
      <formula1>$D$2:$D$3</formula1>
    </dataValidation>
    <dataValidation type="list" allowBlank="1" showInputMessage="1" showErrorMessage="1" sqref="G223:G232 G180:G209 G211:G218" xr:uid="{00000000-0002-0000-0000-000001000000}">
      <formula1>$G$1:$G$12</formula1>
    </dataValidation>
    <dataValidation type="list" allowBlank="1" showInputMessage="1" showErrorMessage="1" sqref="H223:H232 H180:H209 H211:H218" xr:uid="{00000000-0002-0000-0000-000002000000}">
      <formula1>$H$1:$H$13</formula1>
    </dataValidation>
    <dataValidation type="list" allowBlank="1" showInputMessage="1" showErrorMessage="1" sqref="F223:F232" xr:uid="{00000000-0002-0000-0000-000003000000}">
      <formula1>$J$1:$J$138</formula1>
    </dataValidation>
    <dataValidation type="list" allowBlank="1" showInputMessage="1" showErrorMessage="1" sqref="E222" xr:uid="{00000000-0002-0000-0000-000004000000}">
      <formula1>$E$16:$E$19</formula1>
    </dataValidation>
    <dataValidation type="list" allowBlank="1" showInputMessage="1" showErrorMessage="1" sqref="B236:F245" xr:uid="{00000000-0002-0000-0000-000005000000}">
      <formula1>$Y$1:$Y$43</formula1>
    </dataValidation>
    <dataValidation type="list" allowBlank="1" showInputMessage="1" showErrorMessage="1" sqref="I236:I245" xr:uid="{00000000-0002-0000-0000-000006000000}">
      <formula1>$AC$1:$AC$6</formula1>
    </dataValidation>
    <dataValidation showInputMessage="1" showErrorMessage="1" sqref="F176:G176" xr:uid="{00000000-0002-0000-0000-000007000000}"/>
    <dataValidation type="list" operator="equal" allowBlank="1" showInputMessage="1" showErrorMessage="1" sqref="I180:I209 I211:I218" xr:uid="{00000000-0002-0000-0000-000008000000}">
      <formula1>$I$1:$I$3</formula1>
    </dataValidation>
    <dataValidation type="whole" allowBlank="1" showInputMessage="1" showErrorMessage="1" sqref="B211:C218 B180:C209" xr:uid="{00000000-0002-0000-0000-000009000000}">
      <formula1>40</formula1>
      <formula2>2750</formula2>
    </dataValidation>
    <dataValidation type="whole" allowBlank="1" showInputMessage="1" showErrorMessage="1" sqref="C223:C232" xr:uid="{00000000-0002-0000-0000-00000A000000}">
      <formula1>50</formula1>
      <formula2>960</formula2>
    </dataValidation>
    <dataValidation type="whole" allowBlank="1" showInputMessage="1" showErrorMessage="1" sqref="D223:D232" xr:uid="{00000000-0002-0000-0000-00000B000000}">
      <formula1>0</formula1>
      <formula2>200</formula2>
    </dataValidation>
    <dataValidation type="whole" allowBlank="1" showInputMessage="1" showErrorMessage="1" sqref="D211:D218 D180:D209" xr:uid="{00000000-0002-0000-0000-00000C000000}">
      <formula1>0</formula1>
      <formula2>900</formula2>
    </dataValidation>
    <dataValidation type="list" allowBlank="1" showInputMessage="1" showErrorMessage="1" sqref="I223:I232" xr:uid="{00000000-0002-0000-0000-00000D000000}">
      <formula1>$AB$1:$AB$7</formula1>
    </dataValidation>
    <dataValidation type="list" allowBlank="1" showInputMessage="1" showErrorMessage="1" sqref="F211:F218 F180:F209" xr:uid="{00000000-0002-0000-0000-00000E000000}">
      <formula1>$F$1:$F$142</formula1>
    </dataValidation>
    <dataValidation type="list" allowBlank="1" showInputMessage="1" showErrorMessage="1" sqref="E210 E179" xr:uid="{00000000-0002-0000-0000-00000F000000}">
      <formula1>$E$2:$E$10</formula1>
    </dataValidation>
    <dataValidation type="whole" allowBlank="1" showInputMessage="1" showErrorMessage="1" sqref="B223:B232" xr:uid="{00000000-0002-0000-0000-000011000000}">
      <formula1>50</formula1>
      <formula2>1500</formula2>
    </dataValidation>
  </dataValidations>
  <printOptions horizontalCentered="1"/>
  <pageMargins left="0.53" right="0.36" top="0.23622047244094491" bottom="0.51181102362204722" header="0.35433070866141736" footer="0.23622047244094491"/>
  <pageSetup paperSize="9" scale="58" orientation="portrait" blackAndWhite="1" r:id="rId1"/>
  <headerFooter alignWithMargins="0">
    <oddFooter>&amp;CСтраница &amp;P из &amp;N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9" r:id="rId4" name="Drop Down 5">
              <controlPr locked="0" defaultSize="0" autoLine="0" autoPict="0">
                <anchor moveWithCells="1">
                  <from>
                    <xdr:col>5</xdr:col>
                    <xdr:colOff>9525</xdr:colOff>
                    <xdr:row>175</xdr:row>
                    <xdr:rowOff>0</xdr:rowOff>
                  </from>
                  <to>
                    <xdr:col>5</xdr:col>
                    <xdr:colOff>1952625</xdr:colOff>
                    <xdr:row>176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5" name="Drop Down 10">
              <controlPr locked="0" defaultSize="0" autoLine="0" autoPict="0">
                <anchor moveWithCells="1">
                  <from>
                    <xdr:col>0</xdr:col>
                    <xdr:colOff>19050</xdr:colOff>
                    <xdr:row>175</xdr:row>
                    <xdr:rowOff>9525</xdr:rowOff>
                  </from>
                  <to>
                    <xdr:col>4</xdr:col>
                    <xdr:colOff>295275</xdr:colOff>
                    <xdr:row>176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6"/>
  <dimension ref="B2:D15"/>
  <sheetViews>
    <sheetView showGridLines="0" workbookViewId="0">
      <selection activeCell="F39" sqref="F39"/>
    </sheetView>
  </sheetViews>
  <sheetFormatPr defaultRowHeight="12.75" x14ac:dyDescent="0.2"/>
  <sheetData>
    <row r="2" spans="2:4" ht="15.75" x14ac:dyDescent="0.25">
      <c r="D2" s="103" t="s">
        <v>357</v>
      </c>
    </row>
    <row r="5" spans="2:4" x14ac:dyDescent="0.2">
      <c r="B5" t="s">
        <v>358</v>
      </c>
    </row>
    <row r="6" spans="2:4" x14ac:dyDescent="0.2">
      <c r="B6" s="104"/>
    </row>
    <row r="7" spans="2:4" x14ac:dyDescent="0.2">
      <c r="B7" t="s">
        <v>359</v>
      </c>
    </row>
    <row r="8" spans="2:4" x14ac:dyDescent="0.2">
      <c r="B8" t="s">
        <v>360</v>
      </c>
    </row>
    <row r="9" spans="2:4" x14ac:dyDescent="0.2">
      <c r="B9" s="104" t="s">
        <v>361</v>
      </c>
    </row>
    <row r="10" spans="2:4" x14ac:dyDescent="0.2">
      <c r="B10" t="s">
        <v>362</v>
      </c>
    </row>
    <row r="11" spans="2:4" x14ac:dyDescent="0.2">
      <c r="C11" s="99"/>
      <c r="D11" t="s">
        <v>363</v>
      </c>
    </row>
    <row r="12" spans="2:4" x14ac:dyDescent="0.2">
      <c r="C12" s="100"/>
      <c r="D12" t="s">
        <v>364</v>
      </c>
    </row>
    <row r="13" spans="2:4" x14ac:dyDescent="0.2">
      <c r="B13" t="s">
        <v>365</v>
      </c>
    </row>
    <row r="14" spans="2:4" x14ac:dyDescent="0.2">
      <c r="B14" s="104" t="s">
        <v>366</v>
      </c>
    </row>
    <row r="15" spans="2:4" x14ac:dyDescent="0.2">
      <c r="B15" s="104" t="s">
        <v>367</v>
      </c>
    </row>
  </sheetData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2">
    <pageSetUpPr fitToPage="1"/>
  </sheetPr>
  <dimension ref="A1:AG27"/>
  <sheetViews>
    <sheetView zoomScale="85" zoomScaleNormal="85" workbookViewId="0">
      <selection activeCell="D22" sqref="D22"/>
    </sheetView>
  </sheetViews>
  <sheetFormatPr defaultRowHeight="12.75" x14ac:dyDescent="0.2"/>
  <cols>
    <col min="2" max="2" width="31.5703125" bestFit="1" customWidth="1"/>
    <col min="3" max="3" width="18.5703125" bestFit="1" customWidth="1"/>
    <col min="4" max="4" width="8.85546875" customWidth="1"/>
    <col min="5" max="8" width="10.85546875" customWidth="1"/>
    <col min="9" max="14" width="10.85546875" style="57" customWidth="1"/>
    <col min="15" max="15" width="10.5703125" customWidth="1"/>
    <col min="18" max="20" width="11" bestFit="1" customWidth="1"/>
    <col min="21" max="21" width="11.140625" bestFit="1" customWidth="1"/>
    <col min="22" max="22" width="11" bestFit="1" customWidth="1"/>
    <col min="23" max="23" width="11" customWidth="1"/>
    <col min="24" max="25" width="9.42578125" customWidth="1"/>
    <col min="26" max="26" width="11" bestFit="1" customWidth="1"/>
    <col min="27" max="27" width="11" customWidth="1"/>
    <col min="28" max="33" width="9.42578125" customWidth="1"/>
  </cols>
  <sheetData>
    <row r="1" spans="1:33" x14ac:dyDescent="0.2">
      <c r="B1" s="101" t="s">
        <v>445</v>
      </c>
      <c r="G1" s="165"/>
      <c r="L1" s="168"/>
      <c r="Q1" s="161" t="s">
        <v>324</v>
      </c>
    </row>
    <row r="2" spans="1:33" x14ac:dyDescent="0.2">
      <c r="B2" s="40" t="s">
        <v>154</v>
      </c>
      <c r="C2" s="5" t="s">
        <v>7</v>
      </c>
      <c r="D2" s="5">
        <v>16</v>
      </c>
      <c r="E2" s="5">
        <v>19</v>
      </c>
      <c r="F2" s="5">
        <v>10</v>
      </c>
      <c r="G2" s="166">
        <v>30</v>
      </c>
      <c r="H2" s="5">
        <v>38</v>
      </c>
      <c r="I2" s="56" t="s">
        <v>124</v>
      </c>
      <c r="J2" s="56" t="s">
        <v>125</v>
      </c>
      <c r="K2" s="56" t="s">
        <v>126</v>
      </c>
      <c r="L2" s="169" t="s">
        <v>127</v>
      </c>
      <c r="M2" s="56" t="s">
        <v>128</v>
      </c>
      <c r="N2" s="56" t="s">
        <v>204</v>
      </c>
      <c r="R2">
        <f t="shared" ref="R2:R7" si="0">+F2</f>
        <v>10</v>
      </c>
      <c r="S2" t="str">
        <f t="shared" ref="S2:S7" si="1">+I2</f>
        <v>10 (2ст)</v>
      </c>
      <c r="T2">
        <f t="shared" ref="T2:T7" si="2">+D2</f>
        <v>16</v>
      </c>
      <c r="U2" t="str">
        <f t="shared" ref="U2:U7" si="3">+J2</f>
        <v>16 (2ст)</v>
      </c>
      <c r="V2">
        <f t="shared" ref="V2:V7" si="4">+E2</f>
        <v>19</v>
      </c>
      <c r="W2" t="str">
        <f t="shared" ref="W2:W7" si="5">+K2</f>
        <v>19 (2ст)</v>
      </c>
      <c r="X2">
        <f t="shared" ref="X2:X7" si="6">+G2</f>
        <v>30</v>
      </c>
      <c r="Y2" t="str">
        <f t="shared" ref="Y2:Y7" si="7">+L2</f>
        <v>30 (2ст)</v>
      </c>
      <c r="Z2">
        <f t="shared" ref="Z2:Z7" si="8">+H2</f>
        <v>38</v>
      </c>
      <c r="AA2" t="str">
        <f t="shared" ref="AA2:AA7" si="9">+M2</f>
        <v>38 (2ст)</v>
      </c>
      <c r="AB2" t="s">
        <v>319</v>
      </c>
      <c r="AC2" t="s">
        <v>320</v>
      </c>
      <c r="AD2" t="s">
        <v>321</v>
      </c>
      <c r="AE2" t="s">
        <v>322</v>
      </c>
      <c r="AF2" t="s">
        <v>323</v>
      </c>
      <c r="AG2" t="s">
        <v>204</v>
      </c>
    </row>
    <row r="3" spans="1:33" x14ac:dyDescent="0.2">
      <c r="C3" t="s">
        <v>156</v>
      </c>
      <c r="D3" s="152">
        <v>3500</v>
      </c>
      <c r="E3" s="152">
        <v>3600</v>
      </c>
      <c r="F3" s="152">
        <v>3800</v>
      </c>
      <c r="G3" s="167">
        <v>3475</v>
      </c>
      <c r="H3" s="152">
        <v>4270</v>
      </c>
      <c r="I3" s="152">
        <f>F3*1.5</f>
        <v>5700</v>
      </c>
      <c r="J3" s="152">
        <f>D3*1.5</f>
        <v>5250</v>
      </c>
      <c r="K3" s="152">
        <f>E3*1.5</f>
        <v>5400</v>
      </c>
      <c r="L3" s="167">
        <v>4890</v>
      </c>
      <c r="M3" s="152">
        <v>5685</v>
      </c>
      <c r="N3" s="159">
        <v>3800</v>
      </c>
      <c r="Q3" t="str">
        <f>+C3</f>
        <v>матовая</v>
      </c>
      <c r="R3" s="172">
        <f>+F3</f>
        <v>3800</v>
      </c>
      <c r="S3" s="172">
        <f t="shared" si="1"/>
        <v>5700</v>
      </c>
      <c r="T3" s="172">
        <f t="shared" si="2"/>
        <v>3500</v>
      </c>
      <c r="U3" s="172">
        <f t="shared" si="3"/>
        <v>5250</v>
      </c>
      <c r="V3" s="172">
        <f>+E3</f>
        <v>3600</v>
      </c>
      <c r="W3" s="172">
        <f t="shared" si="5"/>
        <v>5400</v>
      </c>
      <c r="X3" s="172">
        <f t="shared" si="6"/>
        <v>3475</v>
      </c>
      <c r="Y3" s="172">
        <f t="shared" si="7"/>
        <v>4890</v>
      </c>
      <c r="Z3" s="172">
        <f t="shared" si="8"/>
        <v>4270</v>
      </c>
      <c r="AA3" s="172">
        <f t="shared" si="9"/>
        <v>5685</v>
      </c>
      <c r="AB3" s="173">
        <v>2000</v>
      </c>
      <c r="AC3" s="173">
        <v>3265</v>
      </c>
      <c r="AD3" s="173">
        <v>4630</v>
      </c>
      <c r="AE3" s="173">
        <v>3365</v>
      </c>
      <c r="AF3" s="173">
        <v>4780</v>
      </c>
      <c r="AG3" s="173">
        <f>+N3</f>
        <v>3800</v>
      </c>
    </row>
    <row r="4" spans="1:33" x14ac:dyDescent="0.2">
      <c r="C4" t="s">
        <v>157</v>
      </c>
      <c r="D4" s="152">
        <v>4200</v>
      </c>
      <c r="E4" s="152">
        <v>4300</v>
      </c>
      <c r="F4" s="152">
        <v>4500</v>
      </c>
      <c r="G4" s="167">
        <v>3845</v>
      </c>
      <c r="H4" s="152">
        <v>4870</v>
      </c>
      <c r="I4" s="152">
        <f t="shared" ref="I4:I5" si="10">F4*1.5</f>
        <v>6750</v>
      </c>
      <c r="J4" s="152">
        <f t="shared" ref="J4:J5" si="11">D4*1.5</f>
        <v>6300</v>
      </c>
      <c r="K4" s="152">
        <f t="shared" ref="K4:K5" si="12">E4*1.5</f>
        <v>6450</v>
      </c>
      <c r="L4" s="170">
        <v>5250</v>
      </c>
      <c r="M4" s="159">
        <v>6275</v>
      </c>
      <c r="N4" s="158" t="s">
        <v>32</v>
      </c>
      <c r="Q4" t="str">
        <f>+C4</f>
        <v>глянец</v>
      </c>
      <c r="R4" s="172">
        <f>+F4</f>
        <v>4500</v>
      </c>
      <c r="S4" s="172">
        <f t="shared" si="1"/>
        <v>6750</v>
      </c>
      <c r="T4" s="172">
        <f t="shared" si="2"/>
        <v>4200</v>
      </c>
      <c r="U4" s="172">
        <f t="shared" si="3"/>
        <v>6300</v>
      </c>
      <c r="V4" s="172">
        <f t="shared" si="4"/>
        <v>4300</v>
      </c>
      <c r="W4" s="172">
        <f t="shared" si="5"/>
        <v>6450</v>
      </c>
      <c r="X4" s="172">
        <f t="shared" si="6"/>
        <v>3845</v>
      </c>
      <c r="Y4" s="172">
        <f t="shared" si="7"/>
        <v>5250</v>
      </c>
      <c r="Z4" s="172">
        <f t="shared" si="8"/>
        <v>4870</v>
      </c>
      <c r="AA4" s="172">
        <f t="shared" si="9"/>
        <v>6275</v>
      </c>
      <c r="AB4" s="173">
        <v>2370</v>
      </c>
      <c r="AC4" s="173">
        <v>3635</v>
      </c>
      <c r="AD4" s="173">
        <v>5040</v>
      </c>
      <c r="AE4" s="173">
        <v>3735</v>
      </c>
      <c r="AF4" s="173">
        <v>5140</v>
      </c>
      <c r="AG4" s="173">
        <f>AG3</f>
        <v>3800</v>
      </c>
    </row>
    <row r="5" spans="1:33" x14ac:dyDescent="0.2">
      <c r="C5" t="s">
        <v>328</v>
      </c>
      <c r="D5" s="152">
        <v>5000</v>
      </c>
      <c r="E5" s="152">
        <v>5100</v>
      </c>
      <c r="F5" s="152">
        <v>5300</v>
      </c>
      <c r="G5" s="167">
        <v>4055</v>
      </c>
      <c r="H5" s="152">
        <v>5770</v>
      </c>
      <c r="I5" s="152">
        <f t="shared" si="10"/>
        <v>7950</v>
      </c>
      <c r="J5" s="152">
        <f t="shared" si="11"/>
        <v>7500</v>
      </c>
      <c r="K5" s="152">
        <f t="shared" si="12"/>
        <v>7650</v>
      </c>
      <c r="L5" s="167">
        <v>5460</v>
      </c>
      <c r="M5" s="152">
        <v>7200</v>
      </c>
      <c r="N5" s="159">
        <v>4000</v>
      </c>
      <c r="O5">
        <f>P5*N5</f>
        <v>2960</v>
      </c>
      <c r="P5">
        <v>0.74</v>
      </c>
      <c r="Q5" t="str">
        <f>+C5</f>
        <v>металлик (матовая)</v>
      </c>
      <c r="R5" s="172">
        <f t="shared" si="0"/>
        <v>5300</v>
      </c>
      <c r="S5" s="172">
        <f>+I5</f>
        <v>7950</v>
      </c>
      <c r="T5" s="172">
        <f t="shared" si="2"/>
        <v>5000</v>
      </c>
      <c r="U5" s="172">
        <f t="shared" si="3"/>
        <v>7500</v>
      </c>
      <c r="V5" s="172">
        <f t="shared" si="4"/>
        <v>5100</v>
      </c>
      <c r="W5" s="172">
        <f t="shared" si="5"/>
        <v>7650</v>
      </c>
      <c r="X5" s="172">
        <f t="shared" si="6"/>
        <v>4055</v>
      </c>
      <c r="Y5" s="172">
        <f t="shared" si="7"/>
        <v>5460</v>
      </c>
      <c r="Z5" s="172">
        <f t="shared" si="8"/>
        <v>5770</v>
      </c>
      <c r="AA5" s="172">
        <f t="shared" si="9"/>
        <v>7200</v>
      </c>
      <c r="AB5" s="173">
        <v>2580</v>
      </c>
      <c r="AC5" s="173">
        <v>3845</v>
      </c>
      <c r="AD5" s="174">
        <f>+AD3+380+60+60+150</f>
        <v>5280</v>
      </c>
      <c r="AE5" s="173">
        <v>3945</v>
      </c>
      <c r="AF5" s="174">
        <f>+AF3+380+60+50+150</f>
        <v>5420</v>
      </c>
      <c r="AG5" s="173">
        <f>+N5</f>
        <v>4000</v>
      </c>
    </row>
    <row r="6" spans="1:33" x14ac:dyDescent="0.2">
      <c r="C6" t="s">
        <v>204</v>
      </c>
      <c r="D6" s="59" t="s">
        <v>32</v>
      </c>
      <c r="E6" s="59" t="s">
        <v>32</v>
      </c>
      <c r="F6" s="59" t="s">
        <v>32</v>
      </c>
      <c r="G6" s="168" t="s">
        <v>32</v>
      </c>
      <c r="H6" s="59" t="s">
        <v>32</v>
      </c>
      <c r="I6" s="59" t="s">
        <v>32</v>
      </c>
      <c r="J6" s="59" t="s">
        <v>32</v>
      </c>
      <c r="K6" s="59" t="s">
        <v>32</v>
      </c>
      <c r="L6" s="168" t="s">
        <v>32</v>
      </c>
      <c r="M6" s="59" t="s">
        <v>32</v>
      </c>
      <c r="N6" s="159">
        <v>3800</v>
      </c>
      <c r="O6">
        <f>P6*N6</f>
        <v>2812</v>
      </c>
      <c r="P6">
        <v>0.74</v>
      </c>
      <c r="Q6" t="str">
        <f>+C6</f>
        <v>Грати</v>
      </c>
      <c r="R6" s="172" t="str">
        <f t="shared" si="0"/>
        <v>нет</v>
      </c>
      <c r="S6" s="172" t="str">
        <f t="shared" si="1"/>
        <v>нет</v>
      </c>
      <c r="T6" s="172" t="str">
        <f t="shared" si="2"/>
        <v>нет</v>
      </c>
      <c r="U6" s="172" t="str">
        <f t="shared" si="3"/>
        <v>нет</v>
      </c>
      <c r="V6" s="172" t="str">
        <f t="shared" si="4"/>
        <v>нет</v>
      </c>
      <c r="W6" s="172" t="str">
        <f t="shared" si="5"/>
        <v>нет</v>
      </c>
      <c r="X6" s="172" t="str">
        <f t="shared" si="6"/>
        <v>нет</v>
      </c>
      <c r="Y6" s="172" t="str">
        <f t="shared" si="7"/>
        <v>нет</v>
      </c>
      <c r="Z6" s="172" t="str">
        <f t="shared" si="8"/>
        <v>нет</v>
      </c>
      <c r="AA6" s="172" t="str">
        <f t="shared" si="9"/>
        <v>нет</v>
      </c>
      <c r="AB6" s="172"/>
      <c r="AC6" s="172"/>
      <c r="AD6" s="172"/>
      <c r="AE6" s="172"/>
      <c r="AF6" s="172"/>
      <c r="AG6" s="173">
        <f>+N6</f>
        <v>3800</v>
      </c>
    </row>
    <row r="7" spans="1:33" x14ac:dyDescent="0.2">
      <c r="C7" t="s">
        <v>39</v>
      </c>
      <c r="D7" s="59" t="s">
        <v>32</v>
      </c>
      <c r="E7" s="59" t="s">
        <v>32</v>
      </c>
      <c r="F7" s="59" t="s">
        <v>32</v>
      </c>
      <c r="G7" s="168" t="s">
        <v>32</v>
      </c>
      <c r="H7" s="59" t="s">
        <v>32</v>
      </c>
      <c r="I7" s="59" t="s">
        <v>32</v>
      </c>
      <c r="J7" s="59" t="s">
        <v>32</v>
      </c>
      <c r="K7" s="59" t="s">
        <v>32</v>
      </c>
      <c r="L7" s="168" t="s">
        <v>32</v>
      </c>
      <c r="M7" s="59" t="s">
        <v>32</v>
      </c>
      <c r="N7" s="144" t="s">
        <v>32</v>
      </c>
      <c r="Q7" t="str">
        <f>+C7</f>
        <v>Фрезеровка</v>
      </c>
      <c r="R7" s="172" t="str">
        <f t="shared" si="0"/>
        <v>нет</v>
      </c>
      <c r="S7" s="172" t="str">
        <f t="shared" si="1"/>
        <v>нет</v>
      </c>
      <c r="T7" s="172" t="str">
        <f t="shared" si="2"/>
        <v>нет</v>
      </c>
      <c r="U7" s="172" t="str">
        <f t="shared" si="3"/>
        <v>нет</v>
      </c>
      <c r="V7" s="172" t="str">
        <f t="shared" si="4"/>
        <v>нет</v>
      </c>
      <c r="W7" s="172" t="str">
        <f t="shared" si="5"/>
        <v>нет</v>
      </c>
      <c r="X7" s="172" t="str">
        <f t="shared" si="6"/>
        <v>нет</v>
      </c>
      <c r="Y7" s="172" t="str">
        <f t="shared" si="7"/>
        <v>нет</v>
      </c>
      <c r="Z7" s="172" t="str">
        <f t="shared" si="8"/>
        <v>нет</v>
      </c>
      <c r="AA7" s="172" t="str">
        <f t="shared" si="9"/>
        <v>нет</v>
      </c>
      <c r="AB7" s="172"/>
      <c r="AC7" s="172"/>
      <c r="AD7" s="172"/>
      <c r="AE7" s="172"/>
      <c r="AF7" s="172"/>
      <c r="AG7" s="173" t="str">
        <f>+N7</f>
        <v>нет</v>
      </c>
    </row>
    <row r="8" spans="1:33" x14ac:dyDescent="0.2">
      <c r="G8" s="165"/>
      <c r="L8" s="168"/>
    </row>
    <row r="9" spans="1:33" x14ac:dyDescent="0.2">
      <c r="G9" s="165"/>
      <c r="L9" s="168"/>
    </row>
    <row r="10" spans="1:33" x14ac:dyDescent="0.2">
      <c r="A10" s="19"/>
      <c r="B10" s="19"/>
      <c r="C10" s="19"/>
      <c r="D10" s="19">
        <f>D2</f>
        <v>16</v>
      </c>
      <c r="E10" s="19">
        <f>E2</f>
        <v>19</v>
      </c>
      <c r="F10" s="19">
        <f>F2</f>
        <v>10</v>
      </c>
      <c r="G10" s="166">
        <f>G2</f>
        <v>30</v>
      </c>
      <c r="H10" s="19">
        <f>H2</f>
        <v>38</v>
      </c>
      <c r="I10" s="58" t="str">
        <f t="shared" ref="I10:N10" si="13">I2</f>
        <v>10 (2ст)</v>
      </c>
      <c r="J10" s="58" t="str">
        <f t="shared" si="13"/>
        <v>16 (2ст)</v>
      </c>
      <c r="K10" s="58" t="str">
        <f t="shared" si="13"/>
        <v>19 (2ст)</v>
      </c>
      <c r="L10" s="169" t="str">
        <f t="shared" si="13"/>
        <v>30 (2ст)</v>
      </c>
      <c r="M10" s="58" t="str">
        <f t="shared" si="13"/>
        <v>38 (2ст)</v>
      </c>
      <c r="N10" s="58" t="str">
        <f t="shared" si="13"/>
        <v>Грати</v>
      </c>
    </row>
    <row r="11" spans="1:33" x14ac:dyDescent="0.2">
      <c r="A11">
        <v>1</v>
      </c>
      <c r="B11" s="20" t="s">
        <v>8</v>
      </c>
      <c r="C11" t="s">
        <v>39</v>
      </c>
      <c r="D11" t="str">
        <f>VLOOKUP($C11,$C$3:$N$7,2,0)</f>
        <v>нет</v>
      </c>
      <c r="E11" t="str">
        <f>VLOOKUP($C11,$C$3:$N$7,3,0)</f>
        <v>нет</v>
      </c>
      <c r="F11" t="str">
        <f>VLOOKUP($C11,$C$3:$N$7,4,0)</f>
        <v>нет</v>
      </c>
      <c r="G11" s="165" t="str">
        <f>VLOOKUP($C11,$C$3:$N$7,5,0)</f>
        <v>нет</v>
      </c>
      <c r="H11" t="str">
        <f>VLOOKUP($C11,$C$3:$N$7,6,0)</f>
        <v>нет</v>
      </c>
      <c r="I11" s="57" t="str">
        <f>VLOOKUP($C11,$C$3:$N$7,7,0)</f>
        <v>нет</v>
      </c>
      <c r="J11" s="57" t="str">
        <f>VLOOKUP($C11,$C$3:$N$7,8,0)</f>
        <v>нет</v>
      </c>
      <c r="K11" s="57" t="str">
        <f>VLOOKUP($C11,$C$3:$N$7,9,0)</f>
        <v>нет</v>
      </c>
      <c r="L11" s="168" t="str">
        <f>VLOOKUP($C11,$C$3:$N$7,10,0)</f>
        <v>нет</v>
      </c>
      <c r="M11" s="57" t="str">
        <f>VLOOKUP($C11,$C$3:$N$7,11,0)</f>
        <v>нет</v>
      </c>
      <c r="N11" s="57" t="str">
        <f>VLOOKUP($C11,$C$3:$N$7,12,0)</f>
        <v>нет</v>
      </c>
    </row>
    <row r="12" spans="1:33" x14ac:dyDescent="0.2">
      <c r="A12">
        <f>A11+1</f>
        <v>2</v>
      </c>
      <c r="B12" t="s">
        <v>337</v>
      </c>
      <c r="C12" t="s">
        <v>156</v>
      </c>
      <c r="D12" s="152">
        <v>3500</v>
      </c>
      <c r="E12" s="152">
        <v>3600</v>
      </c>
      <c r="F12" s="152">
        <f>F3</f>
        <v>3800</v>
      </c>
      <c r="G12" s="167">
        <v>3475</v>
      </c>
      <c r="H12" s="152">
        <v>4270</v>
      </c>
      <c r="I12" s="152">
        <f>F12*1.5</f>
        <v>5700</v>
      </c>
      <c r="J12" s="152">
        <f>D12*1.5</f>
        <v>5250</v>
      </c>
      <c r="K12" s="152">
        <f>E12*1.5</f>
        <v>5400</v>
      </c>
      <c r="L12" s="167">
        <v>4890</v>
      </c>
      <c r="M12" s="152">
        <v>5685</v>
      </c>
      <c r="N12" s="159">
        <v>3800</v>
      </c>
      <c r="Q12" s="5" t="s">
        <v>325</v>
      </c>
    </row>
    <row r="13" spans="1:33" x14ac:dyDescent="0.2">
      <c r="A13">
        <f>A12+1</f>
        <v>3</v>
      </c>
      <c r="B13" t="s">
        <v>338</v>
      </c>
      <c r="C13" t="s">
        <v>157</v>
      </c>
      <c r="D13" s="152">
        <v>4200</v>
      </c>
      <c r="E13" s="152">
        <v>4300</v>
      </c>
      <c r="F13" s="152">
        <f t="shared" ref="F13:F14" si="14">F4</f>
        <v>4500</v>
      </c>
      <c r="G13" s="167">
        <v>3845</v>
      </c>
      <c r="H13" s="152">
        <v>4870</v>
      </c>
      <c r="I13" s="152">
        <f t="shared" ref="I13:I14" si="15">F13*1.5</f>
        <v>6750</v>
      </c>
      <c r="J13" s="152">
        <f t="shared" ref="J13:J14" si="16">D13*1.5</f>
        <v>6300</v>
      </c>
      <c r="K13" s="152">
        <f t="shared" ref="K13:K14" si="17">E13*1.5</f>
        <v>6450</v>
      </c>
      <c r="L13" s="170">
        <v>5250</v>
      </c>
      <c r="M13" s="159">
        <v>6275</v>
      </c>
      <c r="N13" s="158" t="s">
        <v>32</v>
      </c>
      <c r="R13" s="163">
        <v>2375</v>
      </c>
      <c r="S13" s="163">
        <v>3790</v>
      </c>
      <c r="T13" s="163">
        <v>2315</v>
      </c>
      <c r="U13" s="163">
        <v>3680</v>
      </c>
      <c r="V13" s="163">
        <v>2415</v>
      </c>
      <c r="W13" s="163">
        <v>3830</v>
      </c>
      <c r="X13" s="163">
        <v>3425</v>
      </c>
      <c r="Y13" s="163">
        <v>4840</v>
      </c>
      <c r="Z13" s="163">
        <v>3485</v>
      </c>
      <c r="AA13" s="163">
        <v>4900</v>
      </c>
      <c r="AB13" s="163">
        <v>2135</v>
      </c>
      <c r="AC13" s="163">
        <v>3215</v>
      </c>
      <c r="AD13" s="163">
        <v>4580</v>
      </c>
      <c r="AE13" s="163">
        <v>3315</v>
      </c>
      <c r="AF13" s="163">
        <v>4730</v>
      </c>
      <c r="AG13" s="163">
        <v>1875</v>
      </c>
    </row>
    <row r="14" spans="1:33" x14ac:dyDescent="0.2">
      <c r="A14">
        <f>A13+1</f>
        <v>4</v>
      </c>
      <c r="B14" t="s">
        <v>339</v>
      </c>
      <c r="C14" t="s">
        <v>328</v>
      </c>
      <c r="D14" s="152">
        <v>5000</v>
      </c>
      <c r="E14" s="152">
        <v>5100</v>
      </c>
      <c r="F14" s="152">
        <f t="shared" si="14"/>
        <v>5300</v>
      </c>
      <c r="G14" s="167">
        <v>4055</v>
      </c>
      <c r="H14" s="152">
        <v>5770</v>
      </c>
      <c r="I14" s="152">
        <f t="shared" si="15"/>
        <v>7950</v>
      </c>
      <c r="J14" s="152">
        <f t="shared" si="16"/>
        <v>7500</v>
      </c>
      <c r="K14" s="152">
        <f t="shared" si="17"/>
        <v>7650</v>
      </c>
      <c r="L14" s="167">
        <v>5460</v>
      </c>
      <c r="M14" s="152">
        <v>7200</v>
      </c>
      <c r="N14" s="159">
        <v>4000</v>
      </c>
      <c r="R14" s="163">
        <v>2745</v>
      </c>
      <c r="S14" s="163">
        <v>4150</v>
      </c>
      <c r="T14" s="163">
        <v>2685</v>
      </c>
      <c r="U14" s="163">
        <v>4090</v>
      </c>
      <c r="V14" s="163">
        <v>2785</v>
      </c>
      <c r="W14" s="163">
        <v>4190</v>
      </c>
      <c r="X14" s="163">
        <v>3795</v>
      </c>
      <c r="Y14" s="163">
        <v>5200</v>
      </c>
      <c r="Z14" s="163">
        <v>3855</v>
      </c>
      <c r="AA14" s="163">
        <v>5260</v>
      </c>
      <c r="AB14" s="163">
        <v>2575</v>
      </c>
      <c r="AC14" s="163">
        <v>3585</v>
      </c>
      <c r="AD14" s="163">
        <v>4990</v>
      </c>
      <c r="AE14" s="163">
        <v>3685</v>
      </c>
      <c r="AF14" s="163">
        <v>5090</v>
      </c>
      <c r="AG14" s="163" t="s">
        <v>32</v>
      </c>
    </row>
    <row r="15" spans="1:33" x14ac:dyDescent="0.2">
      <c r="R15" s="163">
        <v>2955</v>
      </c>
      <c r="S15" s="163">
        <v>4360</v>
      </c>
      <c r="T15" s="163">
        <v>2895</v>
      </c>
      <c r="U15" s="163">
        <v>4300</v>
      </c>
      <c r="V15" s="163">
        <v>2995</v>
      </c>
      <c r="W15" s="163">
        <v>4400</v>
      </c>
      <c r="X15" s="163">
        <v>4005</v>
      </c>
      <c r="Y15" s="163">
        <v>5410</v>
      </c>
      <c r="Z15" s="163">
        <v>4065</v>
      </c>
      <c r="AA15" s="163">
        <v>5470</v>
      </c>
      <c r="AB15" s="163">
        <v>3275</v>
      </c>
      <c r="AC15" s="163">
        <v>3795</v>
      </c>
      <c r="AD15" s="163">
        <v>5230</v>
      </c>
      <c r="AE15" s="163">
        <v>3895</v>
      </c>
      <c r="AF15" s="163">
        <v>5370</v>
      </c>
      <c r="AG15" s="163">
        <v>2255</v>
      </c>
    </row>
    <row r="16" spans="1:33" x14ac:dyDescent="0.2">
      <c r="R16" s="163" t="s">
        <v>32</v>
      </c>
      <c r="S16" s="163" t="s">
        <v>32</v>
      </c>
      <c r="T16" s="163" t="s">
        <v>32</v>
      </c>
      <c r="U16" s="163" t="s">
        <v>32</v>
      </c>
      <c r="V16" s="163" t="s">
        <v>32</v>
      </c>
      <c r="W16" s="163" t="s">
        <v>32</v>
      </c>
      <c r="X16" s="163" t="s">
        <v>32</v>
      </c>
      <c r="Y16" s="163" t="s">
        <v>32</v>
      </c>
      <c r="Z16" s="163" t="s">
        <v>32</v>
      </c>
      <c r="AA16" s="163" t="s">
        <v>32</v>
      </c>
      <c r="AB16" s="163"/>
      <c r="AC16" s="163"/>
      <c r="AD16" s="163"/>
      <c r="AE16" s="163"/>
      <c r="AF16" s="163"/>
      <c r="AG16" s="163">
        <v>1875</v>
      </c>
    </row>
    <row r="17" spans="9:33" x14ac:dyDescent="0.2">
      <c r="R17" s="163" t="s">
        <v>32</v>
      </c>
      <c r="S17" s="163" t="s">
        <v>32</v>
      </c>
      <c r="T17" s="163" t="s">
        <v>32</v>
      </c>
      <c r="U17" s="163" t="s">
        <v>32</v>
      </c>
      <c r="V17" s="163" t="s">
        <v>32</v>
      </c>
      <c r="W17" s="163" t="s">
        <v>32</v>
      </c>
      <c r="X17" s="163" t="s">
        <v>32</v>
      </c>
      <c r="Y17" s="163" t="s">
        <v>32</v>
      </c>
      <c r="Z17" s="163" t="s">
        <v>32</v>
      </c>
      <c r="AA17" s="163" t="s">
        <v>32</v>
      </c>
      <c r="AB17" s="163"/>
      <c r="AC17" s="163"/>
      <c r="AD17" s="163"/>
      <c r="AE17" s="163"/>
      <c r="AF17" s="163"/>
      <c r="AG17" s="163" t="s">
        <v>32</v>
      </c>
    </row>
    <row r="21" spans="9:33" x14ac:dyDescent="0.2">
      <c r="R21" s="162">
        <f>R3-R13</f>
        <v>1425</v>
      </c>
      <c r="S21" s="162">
        <f t="shared" ref="S21:AG21" si="18">S3-S13</f>
        <v>1910</v>
      </c>
      <c r="T21" s="162">
        <f t="shared" si="18"/>
        <v>1185</v>
      </c>
      <c r="U21" s="162">
        <f t="shared" si="18"/>
        <v>1570</v>
      </c>
      <c r="V21" s="162">
        <f t="shared" si="18"/>
        <v>1185</v>
      </c>
      <c r="W21" s="162">
        <f t="shared" si="18"/>
        <v>1570</v>
      </c>
      <c r="X21" s="162">
        <f t="shared" si="18"/>
        <v>50</v>
      </c>
      <c r="Y21" s="162">
        <f t="shared" si="18"/>
        <v>50</v>
      </c>
      <c r="Z21" s="162">
        <f t="shared" si="18"/>
        <v>785</v>
      </c>
      <c r="AA21" s="162">
        <f t="shared" si="18"/>
        <v>785</v>
      </c>
      <c r="AB21" s="162">
        <f t="shared" si="18"/>
        <v>-135</v>
      </c>
      <c r="AC21" s="162">
        <f t="shared" si="18"/>
        <v>50</v>
      </c>
      <c r="AD21" s="162">
        <f t="shared" si="18"/>
        <v>50</v>
      </c>
      <c r="AE21" s="162">
        <f t="shared" si="18"/>
        <v>50</v>
      </c>
      <c r="AF21" s="162">
        <f t="shared" si="18"/>
        <v>50</v>
      </c>
      <c r="AG21" s="162">
        <f t="shared" si="18"/>
        <v>1925</v>
      </c>
    </row>
    <row r="22" spans="9:33" x14ac:dyDescent="0.2">
      <c r="R22" s="162">
        <f t="shared" ref="R22:AF22" si="19">R4-R14</f>
        <v>1755</v>
      </c>
      <c r="S22" s="162">
        <f t="shared" si="19"/>
        <v>2600</v>
      </c>
      <c r="T22" s="162">
        <f t="shared" si="19"/>
        <v>1515</v>
      </c>
      <c r="U22" s="162">
        <f t="shared" si="19"/>
        <v>2210</v>
      </c>
      <c r="V22" s="162">
        <f t="shared" si="19"/>
        <v>1515</v>
      </c>
      <c r="W22" s="162">
        <f t="shared" si="19"/>
        <v>2260</v>
      </c>
      <c r="X22" s="162">
        <f t="shared" si="19"/>
        <v>50</v>
      </c>
      <c r="Y22" s="162">
        <f t="shared" si="19"/>
        <v>50</v>
      </c>
      <c r="Z22" s="162">
        <f t="shared" si="19"/>
        <v>1015</v>
      </c>
      <c r="AA22" s="162">
        <f t="shared" si="19"/>
        <v>1015</v>
      </c>
      <c r="AB22" s="162">
        <f t="shared" si="19"/>
        <v>-205</v>
      </c>
      <c r="AC22" s="162">
        <f t="shared" si="19"/>
        <v>50</v>
      </c>
      <c r="AD22" s="162">
        <f t="shared" si="19"/>
        <v>50</v>
      </c>
      <c r="AE22" s="162">
        <f t="shared" si="19"/>
        <v>50</v>
      </c>
      <c r="AF22" s="162">
        <f t="shared" si="19"/>
        <v>50</v>
      </c>
      <c r="AG22" s="162"/>
    </row>
    <row r="23" spans="9:33" x14ac:dyDescent="0.2">
      <c r="R23" s="162">
        <f t="shared" ref="R23:AG23" si="20">R5-R15</f>
        <v>2345</v>
      </c>
      <c r="S23" s="162">
        <f t="shared" si="20"/>
        <v>3590</v>
      </c>
      <c r="T23" s="162">
        <f t="shared" si="20"/>
        <v>2105</v>
      </c>
      <c r="U23" s="162">
        <f t="shared" si="20"/>
        <v>3200</v>
      </c>
      <c r="V23" s="162">
        <f t="shared" si="20"/>
        <v>2105</v>
      </c>
      <c r="W23" s="162">
        <f t="shared" si="20"/>
        <v>3250</v>
      </c>
      <c r="X23" s="162">
        <f t="shared" si="20"/>
        <v>50</v>
      </c>
      <c r="Y23" s="162">
        <f t="shared" si="20"/>
        <v>50</v>
      </c>
      <c r="Z23" s="162">
        <f t="shared" si="20"/>
        <v>1705</v>
      </c>
      <c r="AA23" s="162">
        <f t="shared" si="20"/>
        <v>1730</v>
      </c>
      <c r="AB23" s="162">
        <f t="shared" si="20"/>
        <v>-695</v>
      </c>
      <c r="AC23" s="162">
        <f t="shared" si="20"/>
        <v>50</v>
      </c>
      <c r="AD23" s="162">
        <f t="shared" si="20"/>
        <v>50</v>
      </c>
      <c r="AE23" s="162">
        <f t="shared" si="20"/>
        <v>50</v>
      </c>
      <c r="AF23" s="162">
        <f t="shared" si="20"/>
        <v>50</v>
      </c>
      <c r="AG23" s="162">
        <f t="shared" si="20"/>
        <v>1745</v>
      </c>
    </row>
    <row r="24" spans="9:33" x14ac:dyDescent="0.2">
      <c r="R24" s="162"/>
      <c r="S24" s="162"/>
      <c r="T24" s="162"/>
      <c r="U24" s="162"/>
      <c r="V24" s="162"/>
      <c r="W24" s="162"/>
      <c r="X24" s="162"/>
      <c r="Y24" s="162"/>
      <c r="Z24" s="162"/>
      <c r="AA24" s="162"/>
      <c r="AB24" s="162"/>
      <c r="AC24" s="162"/>
      <c r="AD24" s="162"/>
      <c r="AE24" s="162"/>
      <c r="AF24" s="162"/>
      <c r="AG24" s="162">
        <f>AG6-AG16</f>
        <v>1925</v>
      </c>
    </row>
    <row r="26" spans="9:33" x14ac:dyDescent="0.2">
      <c r="I26"/>
      <c r="J26"/>
      <c r="K26"/>
      <c r="L26"/>
      <c r="M26"/>
      <c r="U26" s="164"/>
    </row>
    <row r="27" spans="9:33" x14ac:dyDescent="0.2">
      <c r="I27"/>
      <c r="J27"/>
      <c r="K27"/>
      <c r="L27"/>
      <c r="M27"/>
      <c r="U27" s="164"/>
    </row>
  </sheetData>
  <phoneticPr fontId="3" type="noConversion"/>
  <pageMargins left="0.74803149606299213" right="0.74803149606299213" top="0.98425196850393704" bottom="0.98425196850393704" header="0.51181102362204722" footer="0.51181102362204722"/>
  <pageSetup paperSize="9" scale="36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Лист3"/>
  <dimension ref="A1:U172"/>
  <sheetViews>
    <sheetView zoomScaleNormal="100" workbookViewId="0">
      <selection activeCell="D97" sqref="D97"/>
    </sheetView>
  </sheetViews>
  <sheetFormatPr defaultRowHeight="12.75" x14ac:dyDescent="0.2"/>
  <cols>
    <col min="1" max="1" width="9.140625" style="149" customWidth="1"/>
    <col min="2" max="2" width="25.7109375" style="149" bestFit="1" customWidth="1"/>
    <col min="7" max="7" width="9.140625" style="149" customWidth="1"/>
    <col min="8" max="8" width="25.42578125" style="149" bestFit="1" customWidth="1"/>
    <col min="10" max="10" width="9.140625" style="143" customWidth="1"/>
    <col min="13" max="13" width="33.5703125" bestFit="1" customWidth="1"/>
    <col min="15" max="15" width="9.140625" style="143" customWidth="1"/>
  </cols>
  <sheetData>
    <row r="1" spans="1:21" x14ac:dyDescent="0.2">
      <c r="A1" s="150"/>
      <c r="B1" s="150" t="s">
        <v>430</v>
      </c>
      <c r="C1" s="21"/>
      <c r="D1" s="21"/>
      <c r="G1" s="150"/>
      <c r="H1" s="150" t="s">
        <v>440</v>
      </c>
      <c r="I1" s="21"/>
      <c r="J1" s="142"/>
      <c r="L1" s="21"/>
      <c r="M1" s="21" t="s">
        <v>97</v>
      </c>
      <c r="N1" s="21"/>
      <c r="O1" s="142" t="s">
        <v>6</v>
      </c>
      <c r="P1" s="21"/>
      <c r="Q1" s="21" t="s">
        <v>38</v>
      </c>
      <c r="R1" s="21"/>
      <c r="S1" s="21"/>
      <c r="T1" s="21" t="s">
        <v>109</v>
      </c>
    </row>
    <row r="2" spans="1:21" x14ac:dyDescent="0.2">
      <c r="P2" s="116" t="s">
        <v>7</v>
      </c>
      <c r="Q2" s="117"/>
      <c r="R2" s="117"/>
      <c r="S2" s="117"/>
    </row>
    <row r="3" spans="1:21" x14ac:dyDescent="0.2">
      <c r="A3" s="145"/>
      <c r="B3" s="145" t="s">
        <v>10</v>
      </c>
      <c r="C3" s="145">
        <v>3</v>
      </c>
      <c r="D3" s="145">
        <v>1400</v>
      </c>
      <c r="E3" s="145"/>
      <c r="F3" s="115"/>
      <c r="G3" s="145"/>
      <c r="H3" s="145" t="s">
        <v>32</v>
      </c>
      <c r="I3" s="145">
        <v>1</v>
      </c>
      <c r="J3" s="145">
        <v>900</v>
      </c>
      <c r="P3">
        <v>0</v>
      </c>
      <c r="Q3">
        <v>1</v>
      </c>
      <c r="R3">
        <v>2</v>
      </c>
      <c r="S3" s="165">
        <v>3</v>
      </c>
    </row>
    <row r="4" spans="1:21" x14ac:dyDescent="0.2">
      <c r="A4" s="145">
        <v>19</v>
      </c>
      <c r="B4" s="145" t="s">
        <v>209</v>
      </c>
      <c r="C4" s="145">
        <v>4</v>
      </c>
      <c r="D4" s="145">
        <v>1800</v>
      </c>
      <c r="E4" s="145"/>
      <c r="F4" s="115"/>
      <c r="G4" s="145"/>
      <c r="H4" s="145" t="s">
        <v>229</v>
      </c>
      <c r="I4" s="145">
        <v>3</v>
      </c>
      <c r="J4" s="145">
        <v>2325</v>
      </c>
      <c r="M4" s="115" t="s">
        <v>162</v>
      </c>
      <c r="N4" s="115">
        <v>2</v>
      </c>
      <c r="O4" s="146">
        <f>1205+30+100+100</f>
        <v>1435</v>
      </c>
      <c r="P4" s="115">
        <v>0</v>
      </c>
      <c r="Q4" s="146">
        <v>500</v>
      </c>
      <c r="R4" s="146">
        <f>30+20</f>
        <v>50</v>
      </c>
      <c r="S4" s="167">
        <f>300+100</f>
        <v>400</v>
      </c>
      <c r="T4" s="122">
        <v>0.192</v>
      </c>
    </row>
    <row r="5" spans="1:21" x14ac:dyDescent="0.2">
      <c r="A5" s="145">
        <v>19</v>
      </c>
      <c r="B5" s="145" t="s">
        <v>314</v>
      </c>
      <c r="C5" s="145">
        <v>5</v>
      </c>
      <c r="D5" s="145">
        <v>2100</v>
      </c>
      <c r="E5" s="145"/>
      <c r="F5" s="115"/>
      <c r="G5" s="145"/>
      <c r="H5" s="145" t="s">
        <v>48</v>
      </c>
      <c r="I5" s="145">
        <v>3</v>
      </c>
      <c r="J5" s="145">
        <v>2325</v>
      </c>
      <c r="M5" s="145" t="s">
        <v>311</v>
      </c>
      <c r="N5" s="115">
        <f>N4+1</f>
        <v>3</v>
      </c>
      <c r="O5" s="146">
        <f>830+30+100+100</f>
        <v>1060</v>
      </c>
      <c r="P5" s="115">
        <v>0</v>
      </c>
      <c r="Q5" s="146">
        <v>500</v>
      </c>
      <c r="R5" s="146">
        <f t="shared" ref="R5:R31" si="0">30+20</f>
        <v>50</v>
      </c>
      <c r="S5" s="167">
        <f>300+100</f>
        <v>400</v>
      </c>
      <c r="T5" s="151">
        <v>0.23</v>
      </c>
    </row>
    <row r="6" spans="1:21" x14ac:dyDescent="0.2">
      <c r="A6" s="145"/>
      <c r="B6" s="145" t="s">
        <v>288</v>
      </c>
      <c r="C6" s="145">
        <v>2</v>
      </c>
      <c r="D6" s="145">
        <v>700</v>
      </c>
      <c r="E6" s="145"/>
      <c r="F6" s="115"/>
      <c r="G6" s="145"/>
      <c r="H6" s="145" t="s">
        <v>47</v>
      </c>
      <c r="I6" s="145">
        <v>3</v>
      </c>
      <c r="J6" s="145">
        <v>2325</v>
      </c>
      <c r="M6" t="s">
        <v>313</v>
      </c>
      <c r="N6" s="115">
        <f t="shared" ref="N6:N45" si="1">N5+1</f>
        <v>4</v>
      </c>
      <c r="O6" s="146">
        <f>1130+30+100+30+100</f>
        <v>1390</v>
      </c>
      <c r="P6" s="115">
        <v>0</v>
      </c>
      <c r="Q6" s="146">
        <v>500</v>
      </c>
      <c r="R6" s="146">
        <f t="shared" si="0"/>
        <v>50</v>
      </c>
      <c r="S6" s="167">
        <f>195+100</f>
        <v>295</v>
      </c>
      <c r="T6" s="151">
        <v>0.13700000000000001</v>
      </c>
    </row>
    <row r="7" spans="1:21" x14ac:dyDescent="0.2">
      <c r="A7" s="145"/>
      <c r="B7" s="145" t="s">
        <v>289</v>
      </c>
      <c r="C7" s="145">
        <v>2</v>
      </c>
      <c r="D7" s="145">
        <v>700</v>
      </c>
      <c r="E7" s="145"/>
      <c r="F7" s="115"/>
      <c r="G7" s="145"/>
      <c r="H7" s="145" t="s">
        <v>230</v>
      </c>
      <c r="I7" s="145">
        <v>4</v>
      </c>
      <c r="J7" s="145">
        <v>2465</v>
      </c>
      <c r="M7" t="s">
        <v>312</v>
      </c>
      <c r="N7" s="115">
        <f t="shared" si="1"/>
        <v>5</v>
      </c>
      <c r="O7" s="146">
        <f>1130+30+100+30+100</f>
        <v>1390</v>
      </c>
      <c r="P7" s="115">
        <v>0</v>
      </c>
      <c r="Q7" s="146">
        <v>500</v>
      </c>
      <c r="R7" s="146">
        <f t="shared" si="0"/>
        <v>50</v>
      </c>
      <c r="S7" s="167">
        <f>195+100</f>
        <v>295</v>
      </c>
      <c r="T7" s="151">
        <v>0.13700000000000001</v>
      </c>
    </row>
    <row r="8" spans="1:21" x14ac:dyDescent="0.2">
      <c r="A8" s="148" t="s">
        <v>276</v>
      </c>
      <c r="B8" s="145" t="s">
        <v>370</v>
      </c>
      <c r="C8" s="145">
        <v>5</v>
      </c>
      <c r="D8" s="145">
        <v>2100</v>
      </c>
      <c r="E8" s="145"/>
      <c r="F8" s="115"/>
      <c r="G8" s="145"/>
      <c r="H8" s="146" t="s">
        <v>326</v>
      </c>
      <c r="I8" s="146">
        <v>2</v>
      </c>
      <c r="J8" s="146">
        <v>1725</v>
      </c>
      <c r="M8" s="115" t="s">
        <v>160</v>
      </c>
      <c r="N8" s="115">
        <f t="shared" si="1"/>
        <v>6</v>
      </c>
      <c r="O8" s="146">
        <f>830+30+100+100</f>
        <v>1060</v>
      </c>
      <c r="P8" s="115">
        <v>0</v>
      </c>
      <c r="Q8" s="146">
        <v>500</v>
      </c>
      <c r="R8" s="146">
        <f t="shared" si="0"/>
        <v>50</v>
      </c>
      <c r="S8" s="167">
        <f>300+100</f>
        <v>400</v>
      </c>
      <c r="T8" s="122">
        <v>0.14000000000000001</v>
      </c>
    </row>
    <row r="9" spans="1:21" x14ac:dyDescent="0.2">
      <c r="A9" s="145">
        <v>19</v>
      </c>
      <c r="B9" s="145" t="s">
        <v>20</v>
      </c>
      <c r="C9" s="145">
        <v>2</v>
      </c>
      <c r="D9" s="145">
        <v>700</v>
      </c>
      <c r="E9" s="145"/>
      <c r="F9" s="115"/>
      <c r="G9" s="145"/>
      <c r="H9" s="145" t="s">
        <v>231</v>
      </c>
      <c r="I9" s="145">
        <v>5</v>
      </c>
      <c r="J9" s="145">
        <v>3125</v>
      </c>
      <c r="M9" s="115" t="s">
        <v>164</v>
      </c>
      <c r="N9" s="115">
        <f t="shared" si="1"/>
        <v>7</v>
      </c>
      <c r="O9" s="146">
        <f>710+30+100+100</f>
        <v>940</v>
      </c>
      <c r="P9" s="115">
        <v>0</v>
      </c>
      <c r="Q9" s="146">
        <v>500</v>
      </c>
      <c r="R9" s="146">
        <f t="shared" si="0"/>
        <v>50</v>
      </c>
      <c r="S9" s="167">
        <f>195+100</f>
        <v>295</v>
      </c>
      <c r="T9" s="122">
        <v>9.6000000000000002E-2</v>
      </c>
    </row>
    <row r="10" spans="1:21" x14ac:dyDescent="0.2">
      <c r="A10" s="145" t="s">
        <v>214</v>
      </c>
      <c r="B10" s="145" t="s">
        <v>215</v>
      </c>
      <c r="C10" s="145">
        <v>4</v>
      </c>
      <c r="D10" s="145">
        <v>1800</v>
      </c>
      <c r="E10" s="145"/>
      <c r="F10" s="115"/>
      <c r="G10" s="145"/>
      <c r="H10" s="145" t="s">
        <v>425</v>
      </c>
      <c r="I10" s="145">
        <v>5</v>
      </c>
      <c r="J10" s="145">
        <v>3125</v>
      </c>
      <c r="M10" s="115" t="s">
        <v>163</v>
      </c>
      <c r="N10" s="115">
        <f t="shared" si="1"/>
        <v>8</v>
      </c>
      <c r="O10" s="146">
        <f>710+30+100+100</f>
        <v>940</v>
      </c>
      <c r="P10" s="115">
        <v>0</v>
      </c>
      <c r="Q10" s="146">
        <v>500</v>
      </c>
      <c r="R10" s="146">
        <f t="shared" si="0"/>
        <v>50</v>
      </c>
      <c r="S10" s="167">
        <f>195+100</f>
        <v>295</v>
      </c>
      <c r="T10" s="122">
        <v>0.104</v>
      </c>
    </row>
    <row r="11" spans="1:21" x14ac:dyDescent="0.2">
      <c r="A11" s="145" t="s">
        <v>279</v>
      </c>
      <c r="B11" s="145" t="s">
        <v>280</v>
      </c>
      <c r="C11" s="145">
        <v>2</v>
      </c>
      <c r="D11" s="145">
        <v>700</v>
      </c>
      <c r="E11" s="145">
        <f>390</f>
        <v>390</v>
      </c>
      <c r="F11" s="115"/>
      <c r="G11" s="145"/>
      <c r="H11" s="145" t="s">
        <v>232</v>
      </c>
      <c r="I11" s="145">
        <v>4</v>
      </c>
      <c r="J11" s="145">
        <v>2465</v>
      </c>
      <c r="M11" s="115" t="s">
        <v>161</v>
      </c>
      <c r="N11" s="115">
        <f t="shared" si="1"/>
        <v>9</v>
      </c>
      <c r="O11" s="146">
        <v>1060</v>
      </c>
      <c r="P11" s="115">
        <v>0</v>
      </c>
      <c r="Q11" s="146">
        <v>500</v>
      </c>
      <c r="R11" s="146">
        <f t="shared" si="0"/>
        <v>50</v>
      </c>
      <c r="S11" s="167">
        <f>300+100</f>
        <v>400</v>
      </c>
      <c r="T11" s="122">
        <v>0.16</v>
      </c>
    </row>
    <row r="12" spans="1:21" x14ac:dyDescent="0.2">
      <c r="A12" s="145" t="s">
        <v>95</v>
      </c>
      <c r="B12" s="145" t="s">
        <v>83</v>
      </c>
      <c r="C12" s="145">
        <v>3</v>
      </c>
      <c r="D12" s="145">
        <v>1400</v>
      </c>
      <c r="E12" s="145"/>
      <c r="F12" s="115"/>
      <c r="G12" s="145" t="s">
        <v>95</v>
      </c>
      <c r="H12" s="145" t="s">
        <v>233</v>
      </c>
      <c r="I12" s="145">
        <v>3</v>
      </c>
      <c r="J12" s="145">
        <v>2325</v>
      </c>
      <c r="M12" s="115" t="s">
        <v>166</v>
      </c>
      <c r="N12" s="115">
        <f t="shared" si="1"/>
        <v>10</v>
      </c>
      <c r="O12" s="146">
        <f>710+30+100+100</f>
        <v>940</v>
      </c>
      <c r="P12" s="115">
        <v>0</v>
      </c>
      <c r="Q12" s="146">
        <v>500</v>
      </c>
      <c r="R12" s="146">
        <f t="shared" si="0"/>
        <v>50</v>
      </c>
      <c r="S12" s="167">
        <f>195+100</f>
        <v>295</v>
      </c>
      <c r="T12" s="122">
        <v>9.7000000000000003E-2</v>
      </c>
    </row>
    <row r="13" spans="1:21" x14ac:dyDescent="0.2">
      <c r="A13" s="145" t="s">
        <v>95</v>
      </c>
      <c r="B13" s="145" t="s">
        <v>373</v>
      </c>
      <c r="C13" s="145">
        <v>3</v>
      </c>
      <c r="D13" s="145">
        <v>1400</v>
      </c>
      <c r="E13" s="145"/>
      <c r="F13" s="115"/>
      <c r="G13" s="145" t="s">
        <v>95</v>
      </c>
      <c r="H13" s="145" t="s">
        <v>50</v>
      </c>
      <c r="I13" s="145">
        <v>3</v>
      </c>
      <c r="J13" s="145">
        <v>2325</v>
      </c>
      <c r="M13" s="115" t="s">
        <v>165</v>
      </c>
      <c r="N13" s="115">
        <f t="shared" si="1"/>
        <v>11</v>
      </c>
      <c r="O13" s="146">
        <f>710+30+100+100</f>
        <v>940</v>
      </c>
      <c r="P13" s="115">
        <v>0</v>
      </c>
      <c r="Q13" s="146">
        <v>500</v>
      </c>
      <c r="R13" s="146">
        <f t="shared" si="0"/>
        <v>50</v>
      </c>
      <c r="S13" s="167">
        <f>195+100</f>
        <v>295</v>
      </c>
      <c r="T13" s="122">
        <v>0.10299999999999999</v>
      </c>
    </row>
    <row r="14" spans="1:21" x14ac:dyDescent="0.2">
      <c r="A14" s="145"/>
      <c r="B14" s="145" t="s">
        <v>11</v>
      </c>
      <c r="C14" s="145">
        <v>4</v>
      </c>
      <c r="D14" s="145">
        <v>1800</v>
      </c>
      <c r="E14" s="145"/>
      <c r="F14" s="115"/>
      <c r="G14" s="145" t="s">
        <v>95</v>
      </c>
      <c r="H14" s="145" t="s">
        <v>49</v>
      </c>
      <c r="I14" s="145">
        <v>3</v>
      </c>
      <c r="J14" s="145">
        <v>2325</v>
      </c>
      <c r="M14" s="115" t="s">
        <v>159</v>
      </c>
      <c r="N14" s="115">
        <f t="shared" si="1"/>
        <v>12</v>
      </c>
      <c r="O14" s="146">
        <v>1060</v>
      </c>
      <c r="P14" s="115">
        <v>0</v>
      </c>
      <c r="Q14" s="146">
        <v>500</v>
      </c>
      <c r="R14" s="146">
        <f t="shared" si="0"/>
        <v>50</v>
      </c>
      <c r="S14" s="167">
        <f>300+100</f>
        <v>400</v>
      </c>
      <c r="T14" s="122">
        <v>7.5999999999999998E-2</v>
      </c>
    </row>
    <row r="15" spans="1:21" x14ac:dyDescent="0.2">
      <c r="A15" s="145" t="s">
        <v>279</v>
      </c>
      <c r="B15" s="145" t="s">
        <v>281</v>
      </c>
      <c r="C15" s="145">
        <v>4</v>
      </c>
      <c r="D15" s="145">
        <v>1800</v>
      </c>
      <c r="E15" s="145"/>
      <c r="F15" s="115"/>
      <c r="G15" s="145" t="s">
        <v>95</v>
      </c>
      <c r="H15" s="145" t="s">
        <v>376</v>
      </c>
      <c r="I15" s="145">
        <v>3</v>
      </c>
      <c r="J15" s="145">
        <v>2325</v>
      </c>
      <c r="M15" s="115" t="s">
        <v>272</v>
      </c>
      <c r="N15" s="115">
        <f t="shared" si="1"/>
        <v>13</v>
      </c>
      <c r="O15" s="146">
        <f>1285+100</f>
        <v>1385</v>
      </c>
      <c r="P15" s="115">
        <v>0</v>
      </c>
      <c r="Q15" s="146">
        <v>500</v>
      </c>
      <c r="R15" s="146">
        <f t="shared" si="0"/>
        <v>50</v>
      </c>
      <c r="S15" s="167">
        <f>300+100</f>
        <v>400</v>
      </c>
      <c r="T15" s="122">
        <v>0.10349999999999999</v>
      </c>
      <c r="U15" t="s">
        <v>276</v>
      </c>
    </row>
    <row r="16" spans="1:21" x14ac:dyDescent="0.2">
      <c r="A16" s="145" t="s">
        <v>279</v>
      </c>
      <c r="B16" s="145" t="s">
        <v>282</v>
      </c>
      <c r="C16" s="145">
        <v>4</v>
      </c>
      <c r="D16" s="145">
        <v>1800</v>
      </c>
      <c r="E16" s="145"/>
      <c r="F16" s="115"/>
      <c r="G16" s="145" t="s">
        <v>95</v>
      </c>
      <c r="H16" s="145" t="s">
        <v>377</v>
      </c>
      <c r="I16" s="145">
        <v>3</v>
      </c>
      <c r="J16" s="145">
        <v>2325</v>
      </c>
      <c r="M16" s="115" t="s">
        <v>167</v>
      </c>
      <c r="N16" s="115">
        <f t="shared" si="1"/>
        <v>14</v>
      </c>
      <c r="O16" s="146">
        <f>570+30+50+100</f>
        <v>750</v>
      </c>
      <c r="P16" s="115">
        <v>0</v>
      </c>
      <c r="Q16" s="146">
        <v>500</v>
      </c>
      <c r="R16" s="146">
        <f t="shared" si="0"/>
        <v>50</v>
      </c>
      <c r="S16" s="167">
        <f>300+100</f>
        <v>400</v>
      </c>
      <c r="T16" s="122">
        <v>7.5999999999999998E-2</v>
      </c>
    </row>
    <row r="17" spans="1:20" x14ac:dyDescent="0.2">
      <c r="A17" s="145"/>
      <c r="B17" s="145" t="s">
        <v>12</v>
      </c>
      <c r="C17" s="145">
        <v>3</v>
      </c>
      <c r="D17" s="145">
        <v>1400</v>
      </c>
      <c r="E17" s="145"/>
      <c r="F17" s="115"/>
      <c r="G17" s="145" t="s">
        <v>95</v>
      </c>
      <c r="H17" s="145" t="s">
        <v>378</v>
      </c>
      <c r="I17" s="145">
        <v>3</v>
      </c>
      <c r="J17" s="145">
        <v>2325</v>
      </c>
      <c r="M17" s="115" t="s">
        <v>171</v>
      </c>
      <c r="N17" s="115">
        <f t="shared" si="1"/>
        <v>15</v>
      </c>
      <c r="O17" s="146">
        <f>710+30+50+100</f>
        <v>890</v>
      </c>
      <c r="P17" s="115">
        <v>0</v>
      </c>
      <c r="Q17" s="146">
        <v>500</v>
      </c>
      <c r="R17" s="146">
        <f t="shared" si="0"/>
        <v>50</v>
      </c>
      <c r="S17" s="167">
        <f>195+100</f>
        <v>295</v>
      </c>
      <c r="T17" s="122">
        <v>9.6000000000000002E-2</v>
      </c>
    </row>
    <row r="18" spans="1:20" x14ac:dyDescent="0.2">
      <c r="A18" s="145"/>
      <c r="B18" s="145" t="s">
        <v>13</v>
      </c>
      <c r="C18" s="145">
        <v>3</v>
      </c>
      <c r="D18" s="145">
        <v>1400</v>
      </c>
      <c r="E18" s="145"/>
      <c r="F18" s="115"/>
      <c r="G18" s="145"/>
      <c r="H18" s="145" t="s">
        <v>226</v>
      </c>
      <c r="I18" s="145">
        <v>4</v>
      </c>
      <c r="J18" s="145">
        <v>2465</v>
      </c>
      <c r="M18" s="115" t="s">
        <v>170</v>
      </c>
      <c r="N18" s="115">
        <f t="shared" si="1"/>
        <v>16</v>
      </c>
      <c r="O18" s="146">
        <f>710+30+50+100</f>
        <v>890</v>
      </c>
      <c r="P18" s="115">
        <v>0</v>
      </c>
      <c r="Q18" s="146">
        <v>500</v>
      </c>
      <c r="R18" s="146">
        <f t="shared" si="0"/>
        <v>50</v>
      </c>
      <c r="S18" s="167">
        <f>195+100</f>
        <v>295</v>
      </c>
      <c r="T18" s="122">
        <v>9.0999999999999998E-2</v>
      </c>
    </row>
    <row r="19" spans="1:20" x14ac:dyDescent="0.2">
      <c r="A19" s="145"/>
      <c r="B19" s="145" t="s">
        <v>23</v>
      </c>
      <c r="C19" s="145">
        <v>4</v>
      </c>
      <c r="D19" s="145">
        <v>1800</v>
      </c>
      <c r="E19" s="145"/>
      <c r="F19" s="115"/>
      <c r="G19" s="145"/>
      <c r="H19" s="145" t="s">
        <v>270</v>
      </c>
      <c r="I19" s="145">
        <v>4</v>
      </c>
      <c r="J19" s="145">
        <v>2465</v>
      </c>
      <c r="M19" s="115" t="s">
        <v>168</v>
      </c>
      <c r="N19" s="115">
        <f t="shared" si="1"/>
        <v>17</v>
      </c>
      <c r="O19" s="146">
        <f>960+30+50+100</f>
        <v>1140</v>
      </c>
      <c r="P19" s="115">
        <v>0</v>
      </c>
      <c r="Q19" s="146">
        <v>500</v>
      </c>
      <c r="R19" s="146">
        <f t="shared" si="0"/>
        <v>50</v>
      </c>
      <c r="S19" s="167">
        <f>300+100</f>
        <v>400</v>
      </c>
      <c r="T19" s="122">
        <v>0.12</v>
      </c>
    </row>
    <row r="20" spans="1:20" x14ac:dyDescent="0.2">
      <c r="A20" s="145"/>
      <c r="B20" s="145" t="s">
        <v>426</v>
      </c>
      <c r="C20" s="145">
        <v>4</v>
      </c>
      <c r="D20" s="145">
        <v>1800</v>
      </c>
      <c r="E20" s="145"/>
      <c r="F20" s="115"/>
      <c r="G20" s="145" t="s">
        <v>279</v>
      </c>
      <c r="H20" s="145" t="s">
        <v>283</v>
      </c>
      <c r="I20" s="145">
        <v>4</v>
      </c>
      <c r="J20" s="145">
        <v>2465</v>
      </c>
      <c r="M20" s="115" t="s">
        <v>173</v>
      </c>
      <c r="N20" s="115">
        <f t="shared" si="1"/>
        <v>18</v>
      </c>
      <c r="O20" s="146">
        <f>960+30+50+100</f>
        <v>1140</v>
      </c>
      <c r="P20" s="115">
        <v>0</v>
      </c>
      <c r="Q20" s="146">
        <v>500</v>
      </c>
      <c r="R20" s="146">
        <f t="shared" si="0"/>
        <v>50</v>
      </c>
      <c r="S20" s="167">
        <f>195+100</f>
        <v>295</v>
      </c>
      <c r="T20" s="122">
        <v>3.2000000000000001E-2</v>
      </c>
    </row>
    <row r="21" spans="1:20" x14ac:dyDescent="0.2">
      <c r="A21" s="149" t="s">
        <v>301</v>
      </c>
      <c r="B21" s="145" t="s">
        <v>302</v>
      </c>
      <c r="C21" s="145">
        <v>5</v>
      </c>
      <c r="D21" s="145">
        <v>2100</v>
      </c>
      <c r="E21" s="145"/>
      <c r="F21" s="115"/>
      <c r="G21" s="145"/>
      <c r="H21" s="145" t="s">
        <v>207</v>
      </c>
      <c r="I21" s="145">
        <v>3</v>
      </c>
      <c r="J21" s="145">
        <v>2325</v>
      </c>
      <c r="M21" s="115" t="s">
        <v>172</v>
      </c>
      <c r="N21" s="115">
        <f t="shared" si="1"/>
        <v>19</v>
      </c>
      <c r="O21" s="146">
        <f>960+30+50+100</f>
        <v>1140</v>
      </c>
      <c r="P21" s="115">
        <v>0</v>
      </c>
      <c r="Q21" s="146">
        <v>500</v>
      </c>
      <c r="R21" s="146">
        <f t="shared" si="0"/>
        <v>50</v>
      </c>
      <c r="S21" s="167">
        <f>195+100</f>
        <v>295</v>
      </c>
      <c r="T21" s="122">
        <v>3.2000000000000001E-2</v>
      </c>
    </row>
    <row r="22" spans="1:20" x14ac:dyDescent="0.2">
      <c r="A22" s="145"/>
      <c r="B22" s="145" t="s">
        <v>14</v>
      </c>
      <c r="C22" s="145">
        <f>2+2</f>
        <v>4</v>
      </c>
      <c r="D22" s="145">
        <v>1800</v>
      </c>
      <c r="E22" s="145"/>
      <c r="F22" s="115"/>
      <c r="G22" s="145"/>
      <c r="H22" s="145" t="s">
        <v>52</v>
      </c>
      <c r="I22" s="145">
        <v>3</v>
      </c>
      <c r="J22" s="145">
        <v>2325</v>
      </c>
      <c r="M22" s="115" t="s">
        <v>169</v>
      </c>
      <c r="N22" s="115">
        <f t="shared" si="1"/>
        <v>20</v>
      </c>
      <c r="O22" s="146">
        <v>1140</v>
      </c>
      <c r="P22" s="115">
        <v>0</v>
      </c>
      <c r="Q22" s="146">
        <v>500</v>
      </c>
      <c r="R22" s="146">
        <f t="shared" si="0"/>
        <v>50</v>
      </c>
      <c r="S22" s="167">
        <f>300+100</f>
        <v>400</v>
      </c>
      <c r="T22" s="122">
        <v>0.12</v>
      </c>
    </row>
    <row r="23" spans="1:20" x14ac:dyDescent="0.2">
      <c r="A23" s="145"/>
      <c r="B23" s="145" t="s">
        <v>225</v>
      </c>
      <c r="C23" s="145">
        <v>5</v>
      </c>
      <c r="D23" s="145">
        <v>2100</v>
      </c>
      <c r="E23" s="145"/>
      <c r="F23" s="115"/>
      <c r="G23" s="145"/>
      <c r="H23" s="145" t="s">
        <v>51</v>
      </c>
      <c r="I23" s="145">
        <v>3</v>
      </c>
      <c r="J23" s="145">
        <v>2325</v>
      </c>
      <c r="M23" s="115" t="s">
        <v>175</v>
      </c>
      <c r="N23" s="115">
        <f t="shared" si="1"/>
        <v>21</v>
      </c>
      <c r="O23" s="146">
        <f>630+30+50+90</f>
        <v>800</v>
      </c>
      <c r="P23" s="115">
        <v>0</v>
      </c>
      <c r="Q23" s="146">
        <v>500</v>
      </c>
      <c r="R23" s="146">
        <f t="shared" si="0"/>
        <v>50</v>
      </c>
      <c r="S23" s="167">
        <f>195+100</f>
        <v>295</v>
      </c>
      <c r="T23" s="122">
        <v>3.2000000000000001E-2</v>
      </c>
    </row>
    <row r="24" spans="1:20" x14ac:dyDescent="0.2">
      <c r="A24" s="145" t="s">
        <v>131</v>
      </c>
      <c r="B24" s="145" t="s">
        <v>431</v>
      </c>
      <c r="C24" s="147">
        <v>1</v>
      </c>
      <c r="D24" s="145">
        <f>230+50+185</f>
        <v>465</v>
      </c>
      <c r="E24" s="145"/>
      <c r="F24" s="115"/>
      <c r="G24" s="145"/>
      <c r="H24" s="145" t="s">
        <v>234</v>
      </c>
      <c r="I24" s="145">
        <v>3</v>
      </c>
      <c r="J24" s="145">
        <v>2325</v>
      </c>
      <c r="M24" s="115" t="s">
        <v>174</v>
      </c>
      <c r="N24" s="115">
        <f t="shared" si="1"/>
        <v>22</v>
      </c>
      <c r="O24" s="146">
        <f>630+30+50+90</f>
        <v>800</v>
      </c>
      <c r="P24" s="115">
        <v>0</v>
      </c>
      <c r="Q24" s="146">
        <v>500</v>
      </c>
      <c r="R24" s="146">
        <f t="shared" si="0"/>
        <v>50</v>
      </c>
      <c r="S24" s="167">
        <f>195+100</f>
        <v>295</v>
      </c>
      <c r="T24" s="122">
        <v>3.2000000000000001E-2</v>
      </c>
    </row>
    <row r="25" spans="1:20" x14ac:dyDescent="0.2">
      <c r="A25" s="145" t="s">
        <v>279</v>
      </c>
      <c r="B25" s="145" t="s">
        <v>284</v>
      </c>
      <c r="C25" s="145">
        <v>5</v>
      </c>
      <c r="D25" s="145">
        <v>2100</v>
      </c>
      <c r="E25" s="145"/>
      <c r="F25" s="115"/>
      <c r="G25" s="145"/>
      <c r="H25" s="145" t="s">
        <v>54</v>
      </c>
      <c r="I25" s="145">
        <v>3</v>
      </c>
      <c r="J25" s="145">
        <v>2325</v>
      </c>
      <c r="M25" s="115" t="s">
        <v>176</v>
      </c>
      <c r="N25" s="115">
        <f t="shared" si="1"/>
        <v>23</v>
      </c>
      <c r="O25" s="146">
        <f t="shared" ref="O25:O30" si="2">1150+30+50+100</f>
        <v>1330</v>
      </c>
      <c r="P25" s="115">
        <v>0</v>
      </c>
      <c r="Q25" s="146">
        <v>500</v>
      </c>
      <c r="R25" s="146">
        <f t="shared" si="0"/>
        <v>50</v>
      </c>
      <c r="S25" s="167">
        <f>300+100</f>
        <v>400</v>
      </c>
      <c r="T25" s="122">
        <v>0.36</v>
      </c>
    </row>
    <row r="26" spans="1:20" x14ac:dyDescent="0.2">
      <c r="A26" s="145" t="s">
        <v>290</v>
      </c>
      <c r="B26" s="145" t="s">
        <v>291</v>
      </c>
      <c r="C26" s="145">
        <v>5</v>
      </c>
      <c r="D26" s="145">
        <v>2100</v>
      </c>
      <c r="E26" s="145"/>
      <c r="F26" s="115"/>
      <c r="G26" s="145"/>
      <c r="H26" s="145" t="s">
        <v>53</v>
      </c>
      <c r="I26" s="145">
        <v>3</v>
      </c>
      <c r="J26" s="145">
        <v>2325</v>
      </c>
      <c r="M26" s="115" t="s">
        <v>179</v>
      </c>
      <c r="N26" s="115">
        <f t="shared" si="1"/>
        <v>24</v>
      </c>
      <c r="O26" s="146">
        <f t="shared" si="2"/>
        <v>1330</v>
      </c>
      <c r="P26" s="115">
        <v>0</v>
      </c>
      <c r="Q26" s="146">
        <v>500</v>
      </c>
      <c r="R26" s="146">
        <f t="shared" si="0"/>
        <v>50</v>
      </c>
      <c r="S26" s="167">
        <f>195+100</f>
        <v>295</v>
      </c>
      <c r="T26" s="122">
        <v>9.7000000000000003E-2</v>
      </c>
    </row>
    <row r="27" spans="1:20" x14ac:dyDescent="0.2">
      <c r="A27" s="145" t="s">
        <v>214</v>
      </c>
      <c r="B27" s="145" t="s">
        <v>216</v>
      </c>
      <c r="C27" s="145">
        <v>2</v>
      </c>
      <c r="D27" s="145">
        <v>700</v>
      </c>
      <c r="E27" s="145"/>
      <c r="F27" s="115"/>
      <c r="G27" s="145"/>
      <c r="H27" s="145" t="s">
        <v>235</v>
      </c>
      <c r="I27" s="145">
        <v>4</v>
      </c>
      <c r="J27" s="145">
        <v>2465</v>
      </c>
      <c r="M27" s="115" t="s">
        <v>178</v>
      </c>
      <c r="N27" s="115">
        <f t="shared" si="1"/>
        <v>25</v>
      </c>
      <c r="O27" s="146">
        <f t="shared" si="2"/>
        <v>1330</v>
      </c>
      <c r="P27" s="115">
        <v>0</v>
      </c>
      <c r="Q27" s="146">
        <v>500</v>
      </c>
      <c r="R27" s="146">
        <f t="shared" si="0"/>
        <v>50</v>
      </c>
      <c r="S27" s="167">
        <f>195+100</f>
        <v>295</v>
      </c>
      <c r="T27" s="122">
        <v>9.7000000000000003E-2</v>
      </c>
    </row>
    <row r="28" spans="1:20" x14ac:dyDescent="0.2">
      <c r="A28" s="145"/>
      <c r="B28" s="145" t="s">
        <v>15</v>
      </c>
      <c r="C28" s="145">
        <v>2</v>
      </c>
      <c r="D28" s="145">
        <v>700</v>
      </c>
      <c r="E28" s="145"/>
      <c r="F28" s="115"/>
      <c r="G28" s="145"/>
      <c r="H28" s="145" t="s">
        <v>236</v>
      </c>
      <c r="I28" s="145">
        <v>4</v>
      </c>
      <c r="J28" s="145">
        <v>2465</v>
      </c>
      <c r="M28" s="115" t="s">
        <v>177</v>
      </c>
      <c r="N28" s="115">
        <f t="shared" si="1"/>
        <v>26</v>
      </c>
      <c r="O28" s="146">
        <f t="shared" si="2"/>
        <v>1330</v>
      </c>
      <c r="P28" s="115">
        <v>0</v>
      </c>
      <c r="Q28" s="146">
        <v>500</v>
      </c>
      <c r="R28" s="146">
        <f t="shared" si="0"/>
        <v>50</v>
      </c>
      <c r="S28" s="167">
        <f>300+100</f>
        <v>400</v>
      </c>
      <c r="T28" s="122">
        <v>0.2</v>
      </c>
    </row>
    <row r="29" spans="1:20" x14ac:dyDescent="0.2">
      <c r="A29" s="145" t="s">
        <v>290</v>
      </c>
      <c r="B29" s="145" t="s">
        <v>292</v>
      </c>
      <c r="C29" s="145">
        <v>5</v>
      </c>
      <c r="D29" s="145">
        <v>2100</v>
      </c>
      <c r="E29" s="145">
        <v>280</v>
      </c>
      <c r="F29" s="115"/>
      <c r="G29" s="145"/>
      <c r="H29" s="145" t="s">
        <v>56</v>
      </c>
      <c r="I29" s="145">
        <v>4</v>
      </c>
      <c r="J29" s="145">
        <v>2465</v>
      </c>
      <c r="M29" s="115" t="s">
        <v>181</v>
      </c>
      <c r="N29" s="115">
        <f t="shared" si="1"/>
        <v>27</v>
      </c>
      <c r="O29" s="146">
        <f t="shared" si="2"/>
        <v>1330</v>
      </c>
      <c r="P29" s="115">
        <v>0</v>
      </c>
      <c r="Q29" s="146">
        <v>500</v>
      </c>
      <c r="R29" s="146">
        <f t="shared" si="0"/>
        <v>50</v>
      </c>
      <c r="S29" s="167">
        <f>195+100</f>
        <v>295</v>
      </c>
      <c r="T29" s="122">
        <v>5.3999999999999999E-2</v>
      </c>
    </row>
    <row r="30" spans="1:20" x14ac:dyDescent="0.2">
      <c r="A30" s="145" t="s">
        <v>290</v>
      </c>
      <c r="B30" s="145" t="s">
        <v>300</v>
      </c>
      <c r="C30" s="145">
        <v>5</v>
      </c>
      <c r="D30" s="145">
        <v>2100</v>
      </c>
      <c r="E30" s="145"/>
      <c r="F30" s="115"/>
      <c r="G30" s="145"/>
      <c r="H30" s="145" t="s">
        <v>55</v>
      </c>
      <c r="I30" s="145">
        <v>4</v>
      </c>
      <c r="J30" s="145">
        <v>2465</v>
      </c>
      <c r="M30" s="115" t="s">
        <v>180</v>
      </c>
      <c r="N30" s="115">
        <f t="shared" si="1"/>
        <v>28</v>
      </c>
      <c r="O30" s="146">
        <f t="shared" si="2"/>
        <v>1330</v>
      </c>
      <c r="P30" s="115">
        <v>0</v>
      </c>
      <c r="Q30" s="146">
        <v>500</v>
      </c>
      <c r="R30" s="146">
        <f t="shared" si="0"/>
        <v>50</v>
      </c>
      <c r="S30" s="167">
        <f>195+100</f>
        <v>295</v>
      </c>
      <c r="T30" s="122">
        <v>5.3999999999999999E-2</v>
      </c>
    </row>
    <row r="31" spans="1:20" x14ac:dyDescent="0.2">
      <c r="A31" s="145"/>
      <c r="B31" s="145" t="s">
        <v>202</v>
      </c>
      <c r="C31" s="145">
        <v>1</v>
      </c>
      <c r="D31" s="145">
        <v>0</v>
      </c>
      <c r="E31" s="145"/>
      <c r="F31" s="115"/>
      <c r="G31" s="145"/>
      <c r="H31" s="145" t="s">
        <v>237</v>
      </c>
      <c r="I31" s="145">
        <v>3</v>
      </c>
      <c r="J31" s="145">
        <v>2325</v>
      </c>
      <c r="M31" s="115" t="s">
        <v>98</v>
      </c>
      <c r="N31" s="115">
        <f t="shared" si="1"/>
        <v>29</v>
      </c>
      <c r="O31" s="146">
        <f>490+30+80</f>
        <v>600</v>
      </c>
      <c r="P31" s="115">
        <v>0</v>
      </c>
      <c r="Q31" s="146">
        <v>500</v>
      </c>
      <c r="R31" s="146">
        <f t="shared" si="0"/>
        <v>50</v>
      </c>
      <c r="S31" s="167">
        <f>270+50</f>
        <v>320</v>
      </c>
      <c r="T31" s="122">
        <v>4.2000000000000003E-2</v>
      </c>
    </row>
    <row r="32" spans="1:20" x14ac:dyDescent="0.2">
      <c r="A32" s="145"/>
      <c r="B32" s="145" t="s">
        <v>203</v>
      </c>
      <c r="C32" s="145">
        <v>1</v>
      </c>
      <c r="D32" s="145">
        <v>0</v>
      </c>
      <c r="E32" s="145"/>
      <c r="F32" s="115"/>
      <c r="G32" s="145"/>
      <c r="H32" s="145" t="s">
        <v>238</v>
      </c>
      <c r="I32" s="145">
        <v>3</v>
      </c>
      <c r="J32" s="145">
        <v>2325</v>
      </c>
      <c r="M32" s="115" t="s">
        <v>99</v>
      </c>
      <c r="N32" s="115">
        <f t="shared" si="1"/>
        <v>30</v>
      </c>
      <c r="O32" s="146">
        <f>490+30+80</f>
        <v>600</v>
      </c>
      <c r="P32" s="115">
        <v>0</v>
      </c>
      <c r="Q32" s="146">
        <v>500</v>
      </c>
      <c r="R32" s="146">
        <f t="shared" ref="R32:R43" si="3">30+20</f>
        <v>50</v>
      </c>
      <c r="S32" s="167">
        <f t="shared" ref="S32:S43" si="4">270+50</f>
        <v>320</v>
      </c>
      <c r="T32" s="122">
        <v>4.2000000000000003E-2</v>
      </c>
    </row>
    <row r="33" spans="1:20" x14ac:dyDescent="0.2">
      <c r="A33" s="145" t="s">
        <v>131</v>
      </c>
      <c r="B33" s="145" t="s">
        <v>138</v>
      </c>
      <c r="C33" s="147">
        <v>1</v>
      </c>
      <c r="D33" s="145">
        <f>380+100+125</f>
        <v>605</v>
      </c>
      <c r="E33" s="145"/>
      <c r="F33" s="115"/>
      <c r="G33" s="145" t="s">
        <v>214</v>
      </c>
      <c r="H33" s="145" t="s">
        <v>224</v>
      </c>
      <c r="I33" s="145">
        <v>3</v>
      </c>
      <c r="J33" s="145">
        <v>2325</v>
      </c>
      <c r="M33" s="115" t="s">
        <v>100</v>
      </c>
      <c r="N33" s="115">
        <f t="shared" si="1"/>
        <v>31</v>
      </c>
      <c r="O33" s="146">
        <f>510+30+90</f>
        <v>630</v>
      </c>
      <c r="P33" s="115">
        <v>0</v>
      </c>
      <c r="Q33" s="146">
        <v>500</v>
      </c>
      <c r="R33" s="146">
        <f t="shared" si="3"/>
        <v>50</v>
      </c>
      <c r="S33" s="167">
        <f t="shared" si="4"/>
        <v>320</v>
      </c>
      <c r="T33" s="122">
        <v>0.06</v>
      </c>
    </row>
    <row r="34" spans="1:20" x14ac:dyDescent="0.2">
      <c r="A34" s="145" t="s">
        <v>131</v>
      </c>
      <c r="B34" s="145" t="s">
        <v>135</v>
      </c>
      <c r="C34" s="147">
        <v>1</v>
      </c>
      <c r="D34" s="145">
        <f>380+100+125</f>
        <v>605</v>
      </c>
      <c r="E34" s="145"/>
      <c r="F34" s="115"/>
      <c r="G34" s="145"/>
      <c r="H34" s="145" t="s">
        <v>239</v>
      </c>
      <c r="I34" s="145">
        <v>4</v>
      </c>
      <c r="J34" s="145">
        <v>2465</v>
      </c>
      <c r="M34" s="115" t="s">
        <v>101</v>
      </c>
      <c r="N34" s="115">
        <f t="shared" si="1"/>
        <v>32</v>
      </c>
      <c r="O34" s="146">
        <f>510+30+90</f>
        <v>630</v>
      </c>
      <c r="P34" s="115">
        <v>0</v>
      </c>
      <c r="Q34" s="146">
        <v>500</v>
      </c>
      <c r="R34" s="146">
        <f t="shared" si="3"/>
        <v>50</v>
      </c>
      <c r="S34" s="167">
        <f t="shared" si="4"/>
        <v>320</v>
      </c>
      <c r="T34" s="122">
        <v>0.06</v>
      </c>
    </row>
    <row r="35" spans="1:20" x14ac:dyDescent="0.2">
      <c r="A35" s="145" t="s">
        <v>131</v>
      </c>
      <c r="B35" s="145" t="s">
        <v>139</v>
      </c>
      <c r="C35" s="147">
        <v>1</v>
      </c>
      <c r="D35" s="145">
        <f>380+100+125</f>
        <v>605</v>
      </c>
      <c r="E35" s="145"/>
      <c r="F35" s="115"/>
      <c r="G35" s="145"/>
      <c r="H35" s="145" t="s">
        <v>277</v>
      </c>
      <c r="I35" s="145">
        <v>4</v>
      </c>
      <c r="J35" s="145">
        <v>2465</v>
      </c>
      <c r="M35" s="115" t="s">
        <v>102</v>
      </c>
      <c r="N35" s="115">
        <f t="shared" si="1"/>
        <v>33</v>
      </c>
      <c r="O35" s="146">
        <f>610+30+100</f>
        <v>740</v>
      </c>
      <c r="P35" s="115">
        <v>0</v>
      </c>
      <c r="Q35" s="146">
        <v>500</v>
      </c>
      <c r="R35" s="146">
        <f t="shared" si="3"/>
        <v>50</v>
      </c>
      <c r="S35" s="167">
        <f t="shared" si="4"/>
        <v>320</v>
      </c>
      <c r="T35" s="122">
        <v>8.4000000000000005E-2</v>
      </c>
    </row>
    <row r="36" spans="1:20" x14ac:dyDescent="0.2">
      <c r="A36" s="145" t="s">
        <v>131</v>
      </c>
      <c r="B36" s="145" t="s">
        <v>134</v>
      </c>
      <c r="C36" s="147">
        <v>1</v>
      </c>
      <c r="D36" s="145">
        <f>380+100+125</f>
        <v>605</v>
      </c>
      <c r="E36" s="145"/>
      <c r="F36" s="115"/>
      <c r="G36" s="145" t="s">
        <v>290</v>
      </c>
      <c r="H36" s="145" t="s">
        <v>297</v>
      </c>
      <c r="I36" s="145">
        <v>3</v>
      </c>
      <c r="J36" s="145">
        <v>2325</v>
      </c>
      <c r="M36" s="115" t="s">
        <v>103</v>
      </c>
      <c r="N36" s="115">
        <f t="shared" si="1"/>
        <v>34</v>
      </c>
      <c r="O36" s="146">
        <f>610+30+100</f>
        <v>740</v>
      </c>
      <c r="P36" s="115">
        <v>0</v>
      </c>
      <c r="Q36" s="146">
        <v>500</v>
      </c>
      <c r="R36" s="146">
        <f t="shared" si="3"/>
        <v>50</v>
      </c>
      <c r="S36" s="167">
        <f t="shared" si="4"/>
        <v>320</v>
      </c>
      <c r="T36" s="122">
        <v>8.4000000000000005E-2</v>
      </c>
    </row>
    <row r="37" spans="1:20" x14ac:dyDescent="0.2">
      <c r="A37" s="145"/>
      <c r="B37" s="145" t="s">
        <v>213</v>
      </c>
      <c r="C37" s="145">
        <v>3</v>
      </c>
      <c r="D37" s="145">
        <v>2575</v>
      </c>
      <c r="E37" s="145"/>
      <c r="F37" s="115"/>
      <c r="G37" s="145" t="s">
        <v>290</v>
      </c>
      <c r="H37" s="145" t="s">
        <v>298</v>
      </c>
      <c r="I37" s="145">
        <v>3</v>
      </c>
      <c r="J37" s="145">
        <v>2325</v>
      </c>
      <c r="M37" s="115" t="s">
        <v>104</v>
      </c>
      <c r="N37" s="115">
        <f t="shared" si="1"/>
        <v>35</v>
      </c>
      <c r="O37" s="146">
        <f>670+30+100</f>
        <v>800</v>
      </c>
      <c r="P37" s="115">
        <v>0</v>
      </c>
      <c r="Q37" s="146">
        <v>500</v>
      </c>
      <c r="R37" s="146">
        <f t="shared" si="3"/>
        <v>50</v>
      </c>
      <c r="S37" s="167">
        <f t="shared" si="4"/>
        <v>320</v>
      </c>
      <c r="T37" s="122">
        <v>0.11799999999999999</v>
      </c>
    </row>
    <row r="38" spans="1:20" x14ac:dyDescent="0.2">
      <c r="A38" s="145" t="s">
        <v>131</v>
      </c>
      <c r="B38" s="145" t="s">
        <v>190</v>
      </c>
      <c r="C38" s="145">
        <v>1</v>
      </c>
      <c r="D38" s="145">
        <f>380+100+125</f>
        <v>605</v>
      </c>
      <c r="E38" s="145"/>
      <c r="F38" s="115"/>
      <c r="G38" s="145" t="s">
        <v>290</v>
      </c>
      <c r="H38" s="145" t="s">
        <v>299</v>
      </c>
      <c r="I38" s="145">
        <v>3</v>
      </c>
      <c r="J38" s="145">
        <v>2325</v>
      </c>
      <c r="M38" s="115" t="s">
        <v>105</v>
      </c>
      <c r="N38" s="115">
        <f t="shared" si="1"/>
        <v>36</v>
      </c>
      <c r="O38" s="146">
        <f>670+30+100</f>
        <v>800</v>
      </c>
      <c r="P38" s="115">
        <v>0</v>
      </c>
      <c r="Q38" s="146">
        <v>500</v>
      </c>
      <c r="R38" s="146">
        <f t="shared" si="3"/>
        <v>50</v>
      </c>
      <c r="S38" s="167">
        <f t="shared" si="4"/>
        <v>320</v>
      </c>
      <c r="T38" s="122">
        <v>0.11799999999999999</v>
      </c>
    </row>
    <row r="39" spans="1:20" x14ac:dyDescent="0.2">
      <c r="A39" s="145" t="s">
        <v>131</v>
      </c>
      <c r="B39" s="145" t="s">
        <v>143</v>
      </c>
      <c r="C39" s="147">
        <v>2</v>
      </c>
      <c r="D39" s="145">
        <f>780+100+125</f>
        <v>1005</v>
      </c>
      <c r="E39" s="145"/>
      <c r="F39" s="115"/>
      <c r="G39" s="145" t="s">
        <v>95</v>
      </c>
      <c r="H39" s="145" t="s">
        <v>240</v>
      </c>
      <c r="I39" s="145">
        <v>3</v>
      </c>
      <c r="J39" s="145">
        <v>2325</v>
      </c>
      <c r="M39" s="115" t="s">
        <v>106</v>
      </c>
      <c r="N39" s="115">
        <f t="shared" si="1"/>
        <v>37</v>
      </c>
      <c r="O39" s="146">
        <f>670+30+100</f>
        <v>800</v>
      </c>
      <c r="P39" s="115">
        <v>0</v>
      </c>
      <c r="Q39" s="146">
        <v>500</v>
      </c>
      <c r="R39" s="146">
        <f t="shared" si="3"/>
        <v>50</v>
      </c>
      <c r="S39" s="167">
        <f t="shared" si="4"/>
        <v>320</v>
      </c>
      <c r="T39" s="122">
        <v>0.11799999999999999</v>
      </c>
    </row>
    <row r="40" spans="1:20" x14ac:dyDescent="0.2">
      <c r="A40" s="145" t="s">
        <v>131</v>
      </c>
      <c r="B40" s="145" t="s">
        <v>144</v>
      </c>
      <c r="C40" s="147">
        <v>2</v>
      </c>
      <c r="D40" s="145">
        <f>780+100+125</f>
        <v>1005</v>
      </c>
      <c r="E40" s="145"/>
      <c r="F40" s="115"/>
      <c r="G40" s="145" t="s">
        <v>95</v>
      </c>
      <c r="H40" s="145" t="s">
        <v>58</v>
      </c>
      <c r="I40" s="145">
        <v>3</v>
      </c>
      <c r="J40" s="145">
        <v>2325</v>
      </c>
      <c r="M40" s="115" t="s">
        <v>107</v>
      </c>
      <c r="N40" s="115">
        <f t="shared" si="1"/>
        <v>38</v>
      </c>
      <c r="O40" s="146">
        <f>670+30+100</f>
        <v>800</v>
      </c>
      <c r="P40" s="115">
        <v>0</v>
      </c>
      <c r="Q40" s="146">
        <v>500</v>
      </c>
      <c r="R40" s="146">
        <f t="shared" si="3"/>
        <v>50</v>
      </c>
      <c r="S40" s="167">
        <f t="shared" si="4"/>
        <v>320</v>
      </c>
      <c r="T40" s="122">
        <v>0.11799999999999999</v>
      </c>
    </row>
    <row r="41" spans="1:20" x14ac:dyDescent="0.2">
      <c r="A41" s="145" t="s">
        <v>131</v>
      </c>
      <c r="B41" s="145" t="s">
        <v>140</v>
      </c>
      <c r="C41" s="147">
        <v>2</v>
      </c>
      <c r="D41" s="145">
        <f>780+100+125</f>
        <v>1005</v>
      </c>
      <c r="E41" s="145"/>
      <c r="F41" s="115"/>
      <c r="G41" s="145" t="s">
        <v>95</v>
      </c>
      <c r="H41" s="145" t="s">
        <v>57</v>
      </c>
      <c r="I41" s="145">
        <v>3</v>
      </c>
      <c r="J41" s="145">
        <v>2325</v>
      </c>
      <c r="M41" s="115" t="s">
        <v>327</v>
      </c>
      <c r="N41" s="115">
        <f t="shared" si="1"/>
        <v>39</v>
      </c>
      <c r="O41" s="146">
        <f>300*2+30+50+100</f>
        <v>780</v>
      </c>
      <c r="P41" s="115">
        <v>0</v>
      </c>
      <c r="Q41" s="146">
        <v>500</v>
      </c>
      <c r="R41" s="146">
        <f t="shared" si="3"/>
        <v>50</v>
      </c>
      <c r="S41" s="167">
        <f t="shared" si="4"/>
        <v>320</v>
      </c>
      <c r="T41" s="122">
        <v>0.09</v>
      </c>
    </row>
    <row r="42" spans="1:20" x14ac:dyDescent="0.2">
      <c r="A42" s="145" t="s">
        <v>131</v>
      </c>
      <c r="B42" s="145" t="s">
        <v>141</v>
      </c>
      <c r="C42" s="147">
        <v>2</v>
      </c>
      <c r="D42" s="145">
        <f>780+100+125</f>
        <v>1005</v>
      </c>
      <c r="E42" s="145"/>
      <c r="F42" s="115"/>
      <c r="G42" s="145" t="s">
        <v>95</v>
      </c>
      <c r="H42" s="145" t="s">
        <v>379</v>
      </c>
      <c r="I42" s="145">
        <v>3</v>
      </c>
      <c r="J42" s="145">
        <v>2325</v>
      </c>
      <c r="M42" s="115" t="s">
        <v>222</v>
      </c>
      <c r="N42" s="115">
        <f t="shared" si="1"/>
        <v>40</v>
      </c>
      <c r="O42" s="146">
        <f>600*1.5+30+200+100</f>
        <v>1230</v>
      </c>
      <c r="P42" s="115">
        <v>0</v>
      </c>
      <c r="Q42" s="146">
        <v>500</v>
      </c>
      <c r="R42" s="146">
        <f t="shared" si="3"/>
        <v>50</v>
      </c>
      <c r="S42" s="167">
        <f t="shared" si="4"/>
        <v>320</v>
      </c>
      <c r="T42" s="122">
        <v>0.1273</v>
      </c>
    </row>
    <row r="43" spans="1:20" x14ac:dyDescent="0.2">
      <c r="A43" s="145" t="s">
        <v>131</v>
      </c>
      <c r="B43" s="145" t="s">
        <v>142</v>
      </c>
      <c r="C43" s="147">
        <v>2</v>
      </c>
      <c r="D43" s="145">
        <f>780+100+125</f>
        <v>1005</v>
      </c>
      <c r="E43" s="145"/>
      <c r="F43" s="115"/>
      <c r="G43" s="145" t="s">
        <v>95</v>
      </c>
      <c r="H43" s="145" t="s">
        <v>380</v>
      </c>
      <c r="I43" s="145">
        <v>3</v>
      </c>
      <c r="J43" s="145">
        <v>2325</v>
      </c>
      <c r="M43" s="115" t="s">
        <v>223</v>
      </c>
      <c r="N43" s="115">
        <f t="shared" si="1"/>
        <v>41</v>
      </c>
      <c r="O43" s="146">
        <f>340+30+80</f>
        <v>450</v>
      </c>
      <c r="P43" s="115">
        <v>0</v>
      </c>
      <c r="Q43" s="146">
        <v>500</v>
      </c>
      <c r="R43" s="146">
        <f t="shared" si="3"/>
        <v>50</v>
      </c>
      <c r="S43" s="167">
        <f t="shared" si="4"/>
        <v>320</v>
      </c>
      <c r="T43" s="122">
        <v>0.16</v>
      </c>
    </row>
    <row r="44" spans="1:20" x14ac:dyDescent="0.2">
      <c r="A44" s="145" t="s">
        <v>131</v>
      </c>
      <c r="B44" s="145" t="s">
        <v>137</v>
      </c>
      <c r="C44" s="147">
        <v>1</v>
      </c>
      <c r="D44" s="145">
        <f>380+100+125</f>
        <v>605</v>
      </c>
      <c r="E44" s="145"/>
      <c r="F44" s="115"/>
      <c r="G44" s="145" t="s">
        <v>95</v>
      </c>
      <c r="H44" s="145" t="s">
        <v>381</v>
      </c>
      <c r="I44" s="145">
        <v>3</v>
      </c>
      <c r="J44" s="145">
        <v>2325</v>
      </c>
      <c r="M44" s="115" t="s">
        <v>191</v>
      </c>
      <c r="N44" s="115">
        <f t="shared" si="1"/>
        <v>42</v>
      </c>
      <c r="O44" s="146">
        <f>1180+60+125+30+385</f>
        <v>1780</v>
      </c>
      <c r="P44" s="115">
        <v>0</v>
      </c>
      <c r="Q44" s="146">
        <v>500</v>
      </c>
      <c r="R44" s="146">
        <f>30+20</f>
        <v>50</v>
      </c>
      <c r="S44" s="167">
        <f>195+100</f>
        <v>295</v>
      </c>
      <c r="T44" s="122">
        <v>0.16</v>
      </c>
    </row>
    <row r="45" spans="1:20" x14ac:dyDescent="0.2">
      <c r="A45" s="145" t="s">
        <v>131</v>
      </c>
      <c r="B45" s="145" t="s">
        <v>136</v>
      </c>
      <c r="C45" s="147">
        <v>1</v>
      </c>
      <c r="D45" s="145">
        <f>380+100+125</f>
        <v>605</v>
      </c>
      <c r="E45" s="145"/>
      <c r="F45" s="115"/>
      <c r="G45" s="145" t="s">
        <v>95</v>
      </c>
      <c r="H45" s="145" t="s">
        <v>241</v>
      </c>
      <c r="I45" s="145">
        <v>3</v>
      </c>
      <c r="J45" s="145">
        <v>2325</v>
      </c>
      <c r="M45" s="115" t="s">
        <v>192</v>
      </c>
      <c r="N45" s="115">
        <f t="shared" si="1"/>
        <v>43</v>
      </c>
      <c r="O45" s="146">
        <f>1180+60+125+30+385</f>
        <v>1780</v>
      </c>
      <c r="P45" s="115">
        <v>0</v>
      </c>
      <c r="Q45" s="146">
        <v>500</v>
      </c>
      <c r="R45" s="146">
        <f>30+20</f>
        <v>50</v>
      </c>
      <c r="S45" s="167">
        <f>195+100</f>
        <v>295</v>
      </c>
      <c r="T45" s="122">
        <v>0.16</v>
      </c>
    </row>
    <row r="46" spans="1:20" x14ac:dyDescent="0.2">
      <c r="A46" s="145" t="s">
        <v>214</v>
      </c>
      <c r="B46" s="145" t="s">
        <v>217</v>
      </c>
      <c r="C46" s="147">
        <v>1</v>
      </c>
      <c r="D46" s="145">
        <f>580+100+185</f>
        <v>865</v>
      </c>
      <c r="E46" s="145"/>
      <c r="F46" s="115"/>
      <c r="G46" s="145" t="s">
        <v>95</v>
      </c>
      <c r="H46" s="145" t="s">
        <v>60</v>
      </c>
      <c r="I46" s="145">
        <v>3</v>
      </c>
      <c r="J46" s="145">
        <v>2325</v>
      </c>
    </row>
    <row r="47" spans="1:20" x14ac:dyDescent="0.2">
      <c r="A47" s="145" t="s">
        <v>214</v>
      </c>
      <c r="B47" s="145" t="s">
        <v>218</v>
      </c>
      <c r="C47" s="147">
        <v>1</v>
      </c>
      <c r="D47" s="145">
        <f t="shared" ref="D47:D56" si="5">580+100+185</f>
        <v>865</v>
      </c>
      <c r="E47" s="145"/>
      <c r="F47" s="115"/>
      <c r="G47" s="145" t="s">
        <v>95</v>
      </c>
      <c r="H47" s="145" t="s">
        <v>59</v>
      </c>
      <c r="I47" s="145">
        <v>3</v>
      </c>
      <c r="J47" s="145">
        <v>2325</v>
      </c>
    </row>
    <row r="48" spans="1:20" x14ac:dyDescent="0.2">
      <c r="A48" s="145" t="s">
        <v>214</v>
      </c>
      <c r="B48" s="145" t="s">
        <v>219</v>
      </c>
      <c r="C48" s="147">
        <v>1</v>
      </c>
      <c r="D48" s="145">
        <f t="shared" si="5"/>
        <v>865</v>
      </c>
      <c r="E48" s="145"/>
      <c r="F48" s="115"/>
      <c r="G48" s="145" t="s">
        <v>95</v>
      </c>
      <c r="H48" s="145" t="s">
        <v>416</v>
      </c>
      <c r="I48" s="145">
        <v>3</v>
      </c>
      <c r="J48" s="145">
        <v>2325</v>
      </c>
    </row>
    <row r="49" spans="1:10" x14ac:dyDescent="0.2">
      <c r="A49" s="145">
        <v>19</v>
      </c>
      <c r="B49" s="145" t="s">
        <v>111</v>
      </c>
      <c r="C49" s="147">
        <v>1</v>
      </c>
      <c r="D49" s="145">
        <f t="shared" si="5"/>
        <v>865</v>
      </c>
      <c r="E49" s="145"/>
      <c r="F49" s="115"/>
      <c r="G49" s="145" t="s">
        <v>95</v>
      </c>
      <c r="H49" s="145" t="s">
        <v>417</v>
      </c>
      <c r="I49" s="145">
        <v>3</v>
      </c>
      <c r="J49" s="145">
        <v>2325</v>
      </c>
    </row>
    <row r="50" spans="1:10" x14ac:dyDescent="0.2">
      <c r="A50" s="145"/>
      <c r="B50" s="145" t="s">
        <v>112</v>
      </c>
      <c r="C50" s="147">
        <v>1</v>
      </c>
      <c r="D50" s="145">
        <f t="shared" si="5"/>
        <v>865</v>
      </c>
      <c r="E50" s="145"/>
      <c r="F50" s="115"/>
      <c r="G50" s="145" t="s">
        <v>95</v>
      </c>
      <c r="H50" s="145" t="s">
        <v>418</v>
      </c>
      <c r="I50" s="145">
        <v>3</v>
      </c>
      <c r="J50" s="145">
        <v>2325</v>
      </c>
    </row>
    <row r="51" spans="1:10" x14ac:dyDescent="0.2">
      <c r="A51" s="145">
        <v>19</v>
      </c>
      <c r="B51" s="145" t="s">
        <v>113</v>
      </c>
      <c r="C51" s="147">
        <v>1</v>
      </c>
      <c r="D51" s="145">
        <f t="shared" si="5"/>
        <v>865</v>
      </c>
      <c r="E51" s="145"/>
      <c r="F51" s="115"/>
      <c r="G51" s="145" t="s">
        <v>95</v>
      </c>
      <c r="H51" s="145" t="s">
        <v>419</v>
      </c>
      <c r="I51" s="145">
        <v>3</v>
      </c>
      <c r="J51" s="145">
        <v>2325</v>
      </c>
    </row>
    <row r="52" spans="1:10" x14ac:dyDescent="0.2">
      <c r="A52" s="145">
        <v>19</v>
      </c>
      <c r="B52" s="145" t="s">
        <v>114</v>
      </c>
      <c r="C52" s="147">
        <v>1</v>
      </c>
      <c r="D52" s="145">
        <f t="shared" si="5"/>
        <v>865</v>
      </c>
      <c r="E52" s="145"/>
      <c r="F52" s="115"/>
      <c r="G52" s="145" t="s">
        <v>95</v>
      </c>
      <c r="H52" s="145" t="s">
        <v>420</v>
      </c>
      <c r="I52" s="145">
        <v>3</v>
      </c>
      <c r="J52" s="145">
        <v>2325</v>
      </c>
    </row>
    <row r="53" spans="1:10" x14ac:dyDescent="0.2">
      <c r="A53" s="145"/>
      <c r="B53" s="145" t="s">
        <v>115</v>
      </c>
      <c r="C53" s="147">
        <v>1</v>
      </c>
      <c r="D53" s="145">
        <f t="shared" si="5"/>
        <v>865</v>
      </c>
      <c r="E53" s="145">
        <f>125+100</f>
        <v>225</v>
      </c>
      <c r="F53" s="115"/>
      <c r="G53" s="145" t="s">
        <v>95</v>
      </c>
      <c r="H53" s="145" t="s">
        <v>421</v>
      </c>
      <c r="I53" s="145">
        <v>3</v>
      </c>
      <c r="J53" s="145">
        <v>2325</v>
      </c>
    </row>
    <row r="54" spans="1:10" x14ac:dyDescent="0.2">
      <c r="A54" s="145" t="s">
        <v>131</v>
      </c>
      <c r="B54" s="145" t="s">
        <v>130</v>
      </c>
      <c r="C54" s="147">
        <v>1</v>
      </c>
      <c r="D54" s="145">
        <f t="shared" si="5"/>
        <v>865</v>
      </c>
      <c r="E54" s="145"/>
      <c r="F54" s="115"/>
      <c r="G54" s="145"/>
      <c r="H54" s="145" t="s">
        <v>227</v>
      </c>
      <c r="I54" s="145">
        <v>4</v>
      </c>
      <c r="J54" s="145">
        <v>2465</v>
      </c>
    </row>
    <row r="55" spans="1:10" x14ac:dyDescent="0.2">
      <c r="A55" s="145"/>
      <c r="B55" s="145" t="s">
        <v>116</v>
      </c>
      <c r="C55" s="147">
        <v>1</v>
      </c>
      <c r="D55" s="145">
        <f t="shared" si="5"/>
        <v>865</v>
      </c>
      <c r="E55" s="145"/>
      <c r="F55" s="115"/>
      <c r="G55" s="145"/>
      <c r="H55" s="145" t="s">
        <v>271</v>
      </c>
      <c r="I55" s="145">
        <v>4</v>
      </c>
      <c r="J55" s="145">
        <v>2465</v>
      </c>
    </row>
    <row r="56" spans="1:10" x14ac:dyDescent="0.2">
      <c r="A56" s="145"/>
      <c r="B56" s="145" t="s">
        <v>374</v>
      </c>
      <c r="C56" s="147">
        <v>1</v>
      </c>
      <c r="D56" s="145">
        <f t="shared" si="5"/>
        <v>865</v>
      </c>
      <c r="E56" s="145"/>
      <c r="F56" s="115"/>
      <c r="G56" s="145" t="s">
        <v>95</v>
      </c>
      <c r="H56" s="145" t="s">
        <v>386</v>
      </c>
      <c r="I56" s="145">
        <v>3</v>
      </c>
      <c r="J56" s="145">
        <v>2325</v>
      </c>
    </row>
    <row r="57" spans="1:10" x14ac:dyDescent="0.2">
      <c r="A57" s="145" t="s">
        <v>214</v>
      </c>
      <c r="B57" s="145" t="s">
        <v>220</v>
      </c>
      <c r="C57" s="147">
        <v>3</v>
      </c>
      <c r="D57" s="145">
        <v>1400</v>
      </c>
      <c r="E57" s="145"/>
      <c r="F57" s="115"/>
      <c r="G57" s="145" t="s">
        <v>95</v>
      </c>
      <c r="H57" s="145" t="s">
        <v>401</v>
      </c>
      <c r="I57" s="145">
        <v>3</v>
      </c>
      <c r="J57" s="145">
        <v>2325</v>
      </c>
    </row>
    <row r="58" spans="1:10" x14ac:dyDescent="0.2">
      <c r="A58" s="145">
        <v>19</v>
      </c>
      <c r="B58" s="145" t="s">
        <v>29</v>
      </c>
      <c r="C58" s="145">
        <v>4</v>
      </c>
      <c r="D58" s="145">
        <v>1800</v>
      </c>
      <c r="E58" s="145"/>
      <c r="F58" s="115"/>
      <c r="G58" s="145" t="s">
        <v>95</v>
      </c>
      <c r="H58" s="145" t="s">
        <v>387</v>
      </c>
      <c r="I58" s="145">
        <v>3</v>
      </c>
      <c r="J58" s="145">
        <v>2325</v>
      </c>
    </row>
    <row r="59" spans="1:10" x14ac:dyDescent="0.2">
      <c r="A59" s="145" t="s">
        <v>290</v>
      </c>
      <c r="B59" s="145" t="s">
        <v>293</v>
      </c>
      <c r="C59" s="145">
        <v>3</v>
      </c>
      <c r="D59" s="145">
        <v>1400</v>
      </c>
      <c r="E59" s="145"/>
      <c r="F59" s="115"/>
      <c r="G59" s="145" t="s">
        <v>95</v>
      </c>
      <c r="H59" s="145" t="s">
        <v>402</v>
      </c>
      <c r="I59" s="145">
        <v>3</v>
      </c>
      <c r="J59" s="145">
        <v>2325</v>
      </c>
    </row>
    <row r="60" spans="1:10" x14ac:dyDescent="0.2">
      <c r="A60" s="145" t="s">
        <v>95</v>
      </c>
      <c r="B60" s="145" t="s">
        <v>84</v>
      </c>
      <c r="C60" s="145">
        <v>3</v>
      </c>
      <c r="D60" s="145">
        <v>1400</v>
      </c>
      <c r="E60" s="145"/>
      <c r="F60" s="115"/>
      <c r="G60" s="145" t="s">
        <v>95</v>
      </c>
      <c r="H60" s="145" t="s">
        <v>388</v>
      </c>
      <c r="I60" s="145">
        <v>3</v>
      </c>
      <c r="J60" s="145">
        <v>2325</v>
      </c>
    </row>
    <row r="61" spans="1:10" x14ac:dyDescent="0.2">
      <c r="A61" s="145" t="s">
        <v>95</v>
      </c>
      <c r="B61" s="145" t="s">
        <v>375</v>
      </c>
      <c r="C61" s="145">
        <v>3</v>
      </c>
      <c r="D61" s="145">
        <v>1400</v>
      </c>
      <c r="E61" s="145"/>
      <c r="F61" s="115"/>
      <c r="G61" s="145" t="s">
        <v>95</v>
      </c>
      <c r="H61" s="145" t="s">
        <v>403</v>
      </c>
      <c r="I61" s="145">
        <v>3</v>
      </c>
      <c r="J61" s="145">
        <v>2325</v>
      </c>
    </row>
    <row r="62" spans="1:10" x14ac:dyDescent="0.2">
      <c r="A62" s="145" t="s">
        <v>95</v>
      </c>
      <c r="B62" s="145" t="s">
        <v>85</v>
      </c>
      <c r="C62" s="145">
        <v>3</v>
      </c>
      <c r="D62" s="145">
        <v>1400</v>
      </c>
      <c r="E62" s="145"/>
      <c r="F62" s="115"/>
      <c r="G62" s="145"/>
      <c r="H62" s="145" t="s">
        <v>242</v>
      </c>
      <c r="I62" s="145">
        <v>4</v>
      </c>
      <c r="J62" s="145">
        <v>2465</v>
      </c>
    </row>
    <row r="63" spans="1:10" x14ac:dyDescent="0.2">
      <c r="A63" s="145" t="s">
        <v>95</v>
      </c>
      <c r="B63" s="145" t="s">
        <v>412</v>
      </c>
      <c r="C63" s="145">
        <v>3</v>
      </c>
      <c r="D63" s="145">
        <v>1400</v>
      </c>
      <c r="E63" s="145"/>
      <c r="F63" s="115"/>
      <c r="G63" s="145"/>
      <c r="H63" s="145" t="s">
        <v>273</v>
      </c>
      <c r="I63" s="145">
        <v>4</v>
      </c>
      <c r="J63" s="145">
        <v>2465</v>
      </c>
    </row>
    <row r="64" spans="1:10" x14ac:dyDescent="0.2">
      <c r="A64" s="145" t="s">
        <v>95</v>
      </c>
      <c r="B64" s="145" t="s">
        <v>413</v>
      </c>
      <c r="C64" s="145">
        <v>3</v>
      </c>
      <c r="D64" s="145">
        <v>1400</v>
      </c>
      <c r="E64" s="145"/>
      <c r="F64" s="115"/>
      <c r="G64" s="145"/>
      <c r="H64" s="145" t="s">
        <v>243</v>
      </c>
      <c r="I64" s="145">
        <v>4</v>
      </c>
      <c r="J64" s="145">
        <v>2465</v>
      </c>
    </row>
    <row r="65" spans="1:10" x14ac:dyDescent="0.2">
      <c r="A65" s="145"/>
      <c r="B65" s="145" t="s">
        <v>16</v>
      </c>
      <c r="C65" s="145">
        <v>4</v>
      </c>
      <c r="D65" s="145">
        <v>1800</v>
      </c>
      <c r="E65" s="145"/>
      <c r="F65" s="115"/>
      <c r="G65" s="145"/>
      <c r="H65" s="145" t="s">
        <v>62</v>
      </c>
      <c r="I65" s="145">
        <v>4</v>
      </c>
      <c r="J65" s="145">
        <v>2465</v>
      </c>
    </row>
    <row r="66" spans="1:10" x14ac:dyDescent="0.2">
      <c r="A66" s="145" t="s">
        <v>95</v>
      </c>
      <c r="B66" s="145" t="s">
        <v>382</v>
      </c>
      <c r="C66" s="145">
        <v>3</v>
      </c>
      <c r="D66" s="145">
        <v>1400</v>
      </c>
      <c r="E66" s="145"/>
      <c r="F66" s="115"/>
      <c r="G66" s="145"/>
      <c r="H66" s="145" t="s">
        <v>61</v>
      </c>
      <c r="I66" s="145">
        <v>4</v>
      </c>
      <c r="J66" s="145">
        <v>2465</v>
      </c>
    </row>
    <row r="67" spans="1:10" x14ac:dyDescent="0.2">
      <c r="A67" s="145" t="s">
        <v>95</v>
      </c>
      <c r="B67" s="145" t="s">
        <v>397</v>
      </c>
      <c r="C67" s="145">
        <v>3</v>
      </c>
      <c r="D67" s="145">
        <v>1400</v>
      </c>
      <c r="E67" s="145"/>
      <c r="F67" s="115"/>
      <c r="G67" s="145" t="s">
        <v>95</v>
      </c>
      <c r="H67" s="145" t="s">
        <v>244</v>
      </c>
      <c r="I67" s="145">
        <v>3</v>
      </c>
      <c r="J67" s="145">
        <v>2325</v>
      </c>
    </row>
    <row r="68" spans="1:10" x14ac:dyDescent="0.2">
      <c r="A68" s="145">
        <v>19</v>
      </c>
      <c r="B68" s="145" t="s">
        <v>149</v>
      </c>
      <c r="C68" s="145">
        <v>3</v>
      </c>
      <c r="D68" s="145">
        <v>1400</v>
      </c>
      <c r="E68" s="145"/>
      <c r="F68" s="115"/>
      <c r="G68" s="145" t="s">
        <v>95</v>
      </c>
      <c r="H68" s="145" t="s">
        <v>245</v>
      </c>
      <c r="I68" s="145">
        <v>3</v>
      </c>
      <c r="J68" s="145">
        <v>2325</v>
      </c>
    </row>
    <row r="69" spans="1:10" x14ac:dyDescent="0.2">
      <c r="A69" s="145">
        <v>19</v>
      </c>
      <c r="B69" s="145" t="s">
        <v>150</v>
      </c>
      <c r="C69" s="145">
        <v>3</v>
      </c>
      <c r="D69" s="145">
        <v>1400</v>
      </c>
      <c r="E69" s="145"/>
      <c r="F69" s="115"/>
      <c r="G69" s="145" t="s">
        <v>95</v>
      </c>
      <c r="H69" s="145" t="s">
        <v>246</v>
      </c>
      <c r="I69" s="145">
        <v>3</v>
      </c>
      <c r="J69" s="145">
        <v>2325</v>
      </c>
    </row>
    <row r="70" spans="1:10" x14ac:dyDescent="0.2">
      <c r="A70" s="145" t="s">
        <v>95</v>
      </c>
      <c r="B70" s="145" t="s">
        <v>151</v>
      </c>
      <c r="C70" s="145">
        <v>3</v>
      </c>
      <c r="D70" s="145">
        <v>1400</v>
      </c>
      <c r="E70" s="145"/>
      <c r="F70" s="115"/>
      <c r="G70" s="145"/>
      <c r="H70" s="145" t="s">
        <v>247</v>
      </c>
      <c r="I70" s="145">
        <v>4</v>
      </c>
      <c r="J70" s="145">
        <v>2465</v>
      </c>
    </row>
    <row r="71" spans="1:10" x14ac:dyDescent="0.2">
      <c r="A71" s="145" t="s">
        <v>95</v>
      </c>
      <c r="B71" s="145" t="s">
        <v>152</v>
      </c>
      <c r="C71" s="145">
        <v>3</v>
      </c>
      <c r="D71" s="145">
        <v>1400</v>
      </c>
      <c r="E71" s="145"/>
      <c r="F71" s="115"/>
      <c r="G71" s="145"/>
      <c r="H71" s="145" t="s">
        <v>64</v>
      </c>
      <c r="I71" s="145">
        <v>4</v>
      </c>
      <c r="J71" s="145">
        <v>2465</v>
      </c>
    </row>
    <row r="72" spans="1:10" x14ac:dyDescent="0.2">
      <c r="A72" s="145" t="s">
        <v>131</v>
      </c>
      <c r="B72" s="145" t="s">
        <v>132</v>
      </c>
      <c r="C72" s="147">
        <v>1</v>
      </c>
      <c r="D72" s="145">
        <f>380+100+185</f>
        <v>665</v>
      </c>
      <c r="E72" s="145"/>
      <c r="F72" s="115"/>
      <c r="G72" s="145"/>
      <c r="H72" s="145" t="s">
        <v>63</v>
      </c>
      <c r="I72" s="145">
        <v>4</v>
      </c>
      <c r="J72" s="145">
        <v>2465</v>
      </c>
    </row>
    <row r="73" spans="1:10" x14ac:dyDescent="0.2">
      <c r="A73" s="145" t="s">
        <v>131</v>
      </c>
      <c r="B73" s="145" t="s">
        <v>133</v>
      </c>
      <c r="C73" s="147">
        <v>1</v>
      </c>
      <c r="D73" s="145">
        <f>380+100+185</f>
        <v>665</v>
      </c>
      <c r="E73" s="145"/>
      <c r="F73" s="115"/>
      <c r="G73" s="145" t="s">
        <v>95</v>
      </c>
      <c r="H73" s="145" t="s">
        <v>248</v>
      </c>
      <c r="I73" s="145">
        <v>3</v>
      </c>
      <c r="J73" s="145">
        <v>2325</v>
      </c>
    </row>
    <row r="74" spans="1:10" x14ac:dyDescent="0.2">
      <c r="A74" s="145"/>
      <c r="B74" s="145" t="s">
        <v>200</v>
      </c>
      <c r="C74" s="145">
        <v>2</v>
      </c>
      <c r="D74" s="145">
        <f>380+100+185</f>
        <v>665</v>
      </c>
      <c r="E74" s="145">
        <f>650+600+140</f>
        <v>1390</v>
      </c>
      <c r="F74" s="115"/>
      <c r="G74" s="145" t="s">
        <v>95</v>
      </c>
      <c r="H74" s="145" t="s">
        <v>66</v>
      </c>
      <c r="I74" s="145">
        <v>3</v>
      </c>
      <c r="J74" s="145">
        <v>2325</v>
      </c>
    </row>
    <row r="75" spans="1:10" x14ac:dyDescent="0.2">
      <c r="A75" s="145"/>
      <c r="B75" s="145" t="s">
        <v>205</v>
      </c>
      <c r="C75" s="145">
        <v>2</v>
      </c>
      <c r="D75" s="145">
        <f>380+100+185</f>
        <v>665</v>
      </c>
      <c r="E75" s="145">
        <f>820+600+140</f>
        <v>1560</v>
      </c>
      <c r="F75" s="115"/>
      <c r="G75" s="145" t="s">
        <v>95</v>
      </c>
      <c r="H75" s="145" t="s">
        <v>65</v>
      </c>
      <c r="I75" s="145">
        <v>3</v>
      </c>
      <c r="J75" s="145">
        <v>2325</v>
      </c>
    </row>
    <row r="76" spans="1:10" x14ac:dyDescent="0.2">
      <c r="A76" s="145"/>
      <c r="B76" s="145" t="s">
        <v>26</v>
      </c>
      <c r="C76" s="145">
        <v>4</v>
      </c>
      <c r="D76" s="145">
        <v>1800</v>
      </c>
      <c r="E76" s="145"/>
      <c r="F76" s="115"/>
      <c r="G76" s="145" t="s">
        <v>95</v>
      </c>
      <c r="H76" s="145" t="s">
        <v>422</v>
      </c>
      <c r="I76" s="145">
        <v>3</v>
      </c>
      <c r="J76" s="145">
        <v>2325</v>
      </c>
    </row>
    <row r="77" spans="1:10" x14ac:dyDescent="0.2">
      <c r="A77" s="145" t="s">
        <v>95</v>
      </c>
      <c r="B77" s="145" t="s">
        <v>86</v>
      </c>
      <c r="C77" s="145">
        <v>3</v>
      </c>
      <c r="D77" s="145">
        <v>1400</v>
      </c>
      <c r="E77" s="145"/>
      <c r="F77" s="115"/>
      <c r="G77" s="145" t="s">
        <v>95</v>
      </c>
      <c r="H77" s="145" t="s">
        <v>423</v>
      </c>
      <c r="I77" s="145">
        <v>3</v>
      </c>
      <c r="J77" s="145">
        <v>2325</v>
      </c>
    </row>
    <row r="78" spans="1:10" x14ac:dyDescent="0.2">
      <c r="A78" s="145">
        <v>19</v>
      </c>
      <c r="B78" s="145" t="s">
        <v>368</v>
      </c>
      <c r="C78" s="147">
        <v>5</v>
      </c>
      <c r="D78" s="145">
        <v>2100</v>
      </c>
      <c r="E78" s="145"/>
      <c r="F78" s="115"/>
      <c r="G78" s="145" t="s">
        <v>95</v>
      </c>
      <c r="H78" s="145" t="s">
        <v>424</v>
      </c>
      <c r="I78" s="145">
        <v>3</v>
      </c>
      <c r="J78" s="145">
        <v>2325</v>
      </c>
    </row>
    <row r="79" spans="1:10" x14ac:dyDescent="0.2">
      <c r="A79" s="145" t="s">
        <v>214</v>
      </c>
      <c r="B79" s="145" t="s">
        <v>21</v>
      </c>
      <c r="C79" s="145">
        <v>4</v>
      </c>
      <c r="D79" s="145">
        <v>1800</v>
      </c>
      <c r="E79" s="145"/>
      <c r="F79" s="115"/>
      <c r="G79" s="145"/>
      <c r="H79" s="145" t="s">
        <v>249</v>
      </c>
      <c r="I79" s="145">
        <v>4</v>
      </c>
      <c r="J79" s="145">
        <v>2465</v>
      </c>
    </row>
    <row r="80" spans="1:10" x14ac:dyDescent="0.2">
      <c r="A80" s="145">
        <v>19</v>
      </c>
      <c r="B80" s="145" t="s">
        <v>87</v>
      </c>
      <c r="C80" s="145">
        <v>3</v>
      </c>
      <c r="D80" s="145">
        <v>1400</v>
      </c>
      <c r="E80" s="145"/>
      <c r="F80" s="115"/>
      <c r="G80" s="145"/>
      <c r="H80" s="145" t="s">
        <v>274</v>
      </c>
      <c r="I80" s="145">
        <v>4</v>
      </c>
      <c r="J80" s="145">
        <v>2465</v>
      </c>
    </row>
    <row r="81" spans="1:10" x14ac:dyDescent="0.2">
      <c r="A81" s="145" t="s">
        <v>95</v>
      </c>
      <c r="B81" s="145" t="s">
        <v>24</v>
      </c>
      <c r="C81" s="145">
        <v>4</v>
      </c>
      <c r="D81" s="145">
        <v>1800</v>
      </c>
      <c r="E81" s="145"/>
      <c r="F81" s="115"/>
      <c r="G81" s="145"/>
      <c r="H81" s="145" t="s">
        <v>250</v>
      </c>
      <c r="I81" s="145">
        <v>4</v>
      </c>
      <c r="J81" s="145">
        <v>2465</v>
      </c>
    </row>
    <row r="82" spans="1:10" x14ac:dyDescent="0.2">
      <c r="A82" s="145"/>
      <c r="B82" s="145" t="s">
        <v>88</v>
      </c>
      <c r="C82" s="145">
        <v>3</v>
      </c>
      <c r="D82" s="145">
        <v>1400</v>
      </c>
      <c r="E82" s="145"/>
      <c r="F82" s="115"/>
      <c r="G82" s="149" t="s">
        <v>301</v>
      </c>
      <c r="H82" s="149" t="s">
        <v>309</v>
      </c>
      <c r="I82">
        <v>3</v>
      </c>
      <c r="J82" s="145">
        <v>2325</v>
      </c>
    </row>
    <row r="83" spans="1:10" x14ac:dyDescent="0.2">
      <c r="A83" s="145" t="s">
        <v>95</v>
      </c>
      <c r="B83" s="145" t="s">
        <v>294</v>
      </c>
      <c r="C83" s="145">
        <v>5</v>
      </c>
      <c r="D83" s="145">
        <v>2100</v>
      </c>
      <c r="E83" s="145"/>
      <c r="F83" s="115"/>
      <c r="G83" s="145"/>
      <c r="H83" s="145" t="s">
        <v>251</v>
      </c>
      <c r="I83" s="145">
        <v>3</v>
      </c>
      <c r="J83" s="145">
        <v>2325</v>
      </c>
    </row>
    <row r="84" spans="1:10" x14ac:dyDescent="0.2">
      <c r="A84" s="145" t="s">
        <v>290</v>
      </c>
      <c r="B84" s="145" t="s">
        <v>188</v>
      </c>
      <c r="C84" s="145">
        <v>5</v>
      </c>
      <c r="D84" s="145">
        <v>2100</v>
      </c>
      <c r="E84" s="145"/>
      <c r="F84" s="115"/>
      <c r="G84" s="145"/>
      <c r="H84" s="145" t="s">
        <v>252</v>
      </c>
      <c r="I84" s="145">
        <v>3</v>
      </c>
      <c r="J84" s="145">
        <v>2325</v>
      </c>
    </row>
    <row r="85" spans="1:10" x14ac:dyDescent="0.2">
      <c r="A85" s="145">
        <v>19</v>
      </c>
      <c r="B85" s="145" t="s">
        <v>22</v>
      </c>
      <c r="C85" s="145">
        <v>3</v>
      </c>
      <c r="D85" s="145">
        <v>1400</v>
      </c>
      <c r="E85" s="145"/>
      <c r="F85" s="115"/>
      <c r="G85" s="145"/>
      <c r="H85" s="145" t="s">
        <v>253</v>
      </c>
      <c r="I85" s="145">
        <v>3</v>
      </c>
      <c r="J85" s="145">
        <v>2325</v>
      </c>
    </row>
    <row r="86" spans="1:10" x14ac:dyDescent="0.2">
      <c r="A86" s="145">
        <v>19</v>
      </c>
      <c r="B86" s="145" t="s">
        <v>414</v>
      </c>
      <c r="C86" s="145">
        <v>3</v>
      </c>
      <c r="D86" s="145">
        <v>1400</v>
      </c>
      <c r="E86" s="145"/>
      <c r="F86" s="115"/>
      <c r="G86" s="145"/>
      <c r="H86" s="145" t="s">
        <v>428</v>
      </c>
      <c r="I86" s="145">
        <v>4</v>
      </c>
      <c r="J86" s="145">
        <v>2465</v>
      </c>
    </row>
    <row r="87" spans="1:10" x14ac:dyDescent="0.2">
      <c r="A87" s="145" t="s">
        <v>95</v>
      </c>
      <c r="B87" s="145" t="s">
        <v>318</v>
      </c>
      <c r="C87" s="145">
        <v>3</v>
      </c>
      <c r="D87" s="145">
        <v>1400</v>
      </c>
      <c r="E87" s="145"/>
      <c r="F87" s="115"/>
      <c r="G87" s="145"/>
      <c r="H87" s="145" t="s">
        <v>429</v>
      </c>
      <c r="I87" s="145">
        <v>4</v>
      </c>
      <c r="J87" s="145">
        <v>2465</v>
      </c>
    </row>
    <row r="88" spans="1:10" x14ac:dyDescent="0.2">
      <c r="A88" s="146"/>
      <c r="B88" s="145" t="s">
        <v>9</v>
      </c>
      <c r="C88" s="145">
        <v>4</v>
      </c>
      <c r="D88" s="145">
        <v>1800</v>
      </c>
      <c r="E88" s="145"/>
      <c r="F88" s="115"/>
      <c r="G88" s="145"/>
      <c r="H88" s="145" t="s">
        <v>201</v>
      </c>
      <c r="I88" s="145">
        <v>1</v>
      </c>
      <c r="J88" s="145">
        <v>900</v>
      </c>
    </row>
    <row r="89" spans="1:10" x14ac:dyDescent="0.2">
      <c r="A89" s="145">
        <v>19</v>
      </c>
      <c r="B89" s="145" t="s">
        <v>89</v>
      </c>
      <c r="C89" s="145">
        <v>3</v>
      </c>
      <c r="D89" s="145">
        <v>1400</v>
      </c>
      <c r="E89" s="145"/>
      <c r="F89" s="115"/>
      <c r="G89" s="145"/>
      <c r="H89" s="145" t="s">
        <v>371</v>
      </c>
      <c r="I89" s="145">
        <v>1</v>
      </c>
      <c r="J89" s="145">
        <v>900</v>
      </c>
    </row>
    <row r="90" spans="1:10" x14ac:dyDescent="0.2">
      <c r="A90" s="145" t="s">
        <v>95</v>
      </c>
      <c r="B90" s="145" t="s">
        <v>210</v>
      </c>
      <c r="C90" s="145">
        <v>4</v>
      </c>
      <c r="D90" s="145">
        <v>1800</v>
      </c>
      <c r="E90" s="145"/>
      <c r="F90" s="115"/>
      <c r="G90" s="145"/>
      <c r="H90" s="145" t="s">
        <v>372</v>
      </c>
      <c r="I90" s="145">
        <v>1</v>
      </c>
      <c r="J90" s="145">
        <v>900</v>
      </c>
    </row>
    <row r="91" spans="1:10" x14ac:dyDescent="0.2">
      <c r="A91" s="145">
        <v>19</v>
      </c>
      <c r="B91" s="145" t="s">
        <v>304</v>
      </c>
      <c r="C91" s="145">
        <v>3</v>
      </c>
      <c r="D91" s="145">
        <v>1400</v>
      </c>
      <c r="E91" s="145"/>
      <c r="F91" s="115"/>
      <c r="G91" s="145" t="s">
        <v>95</v>
      </c>
      <c r="H91" s="145" t="s">
        <v>254</v>
      </c>
      <c r="I91" s="145">
        <v>3</v>
      </c>
      <c r="J91" s="145">
        <v>2325</v>
      </c>
    </row>
    <row r="92" spans="1:10" x14ac:dyDescent="0.2">
      <c r="A92" s="149" t="s">
        <v>301</v>
      </c>
      <c r="B92" s="145" t="s">
        <v>295</v>
      </c>
      <c r="C92" s="145">
        <v>4</v>
      </c>
      <c r="D92" s="145">
        <v>1800</v>
      </c>
      <c r="E92" s="145"/>
      <c r="F92" s="115"/>
      <c r="G92" s="145" t="s">
        <v>95</v>
      </c>
      <c r="H92" s="145" t="s">
        <v>68</v>
      </c>
      <c r="I92" s="145">
        <v>3</v>
      </c>
      <c r="J92" s="145">
        <v>2325</v>
      </c>
    </row>
    <row r="93" spans="1:10" x14ac:dyDescent="0.2">
      <c r="A93" s="145" t="s">
        <v>290</v>
      </c>
      <c r="B93" s="145" t="s">
        <v>25</v>
      </c>
      <c r="C93" s="145">
        <v>4</v>
      </c>
      <c r="D93" s="145">
        <v>1800</v>
      </c>
      <c r="E93" s="145"/>
      <c r="F93" s="115"/>
      <c r="G93" s="145" t="s">
        <v>95</v>
      </c>
      <c r="H93" s="145" t="s">
        <v>67</v>
      </c>
      <c r="I93" s="145">
        <v>3</v>
      </c>
      <c r="J93" s="145">
        <v>2325</v>
      </c>
    </row>
    <row r="94" spans="1:10" x14ac:dyDescent="0.2">
      <c r="A94" s="145"/>
      <c r="B94" s="145" t="s">
        <v>182</v>
      </c>
      <c r="C94" s="145">
        <v>4</v>
      </c>
      <c r="D94" s="145">
        <v>1800</v>
      </c>
      <c r="E94" s="145"/>
      <c r="F94" s="115"/>
      <c r="G94" s="149" t="s">
        <v>301</v>
      </c>
      <c r="H94" s="149" t="s">
        <v>310</v>
      </c>
      <c r="I94" s="145">
        <v>2</v>
      </c>
      <c r="J94" s="145">
        <v>1725</v>
      </c>
    </row>
    <row r="95" spans="1:10" x14ac:dyDescent="0.2">
      <c r="A95" s="145"/>
      <c r="B95" s="145" t="s">
        <v>17</v>
      </c>
      <c r="C95" s="145">
        <v>3</v>
      </c>
      <c r="D95" s="145">
        <v>1400</v>
      </c>
      <c r="E95" s="145"/>
      <c r="F95" s="115"/>
      <c r="G95" s="145"/>
      <c r="H95" s="145" t="s">
        <v>255</v>
      </c>
      <c r="I95" s="145">
        <v>3</v>
      </c>
      <c r="J95" s="145">
        <v>2325</v>
      </c>
    </row>
    <row r="96" spans="1:10" x14ac:dyDescent="0.2">
      <c r="A96" s="145"/>
      <c r="B96" s="145" t="s">
        <v>427</v>
      </c>
      <c r="C96" s="145">
        <v>4</v>
      </c>
      <c r="D96" s="145">
        <v>1800</v>
      </c>
      <c r="E96" s="145"/>
      <c r="F96" s="115"/>
      <c r="G96" s="145"/>
      <c r="H96" s="145" t="s">
        <v>256</v>
      </c>
      <c r="I96" s="145">
        <v>3</v>
      </c>
      <c r="J96" s="145">
        <v>2325</v>
      </c>
    </row>
    <row r="97" spans="1:10" x14ac:dyDescent="0.2">
      <c r="A97" s="145"/>
      <c r="B97" s="145" t="s">
        <v>369</v>
      </c>
      <c r="C97" s="145">
        <v>1</v>
      </c>
      <c r="D97" s="145">
        <v>0</v>
      </c>
      <c r="E97" s="145"/>
      <c r="F97" s="115"/>
      <c r="G97" s="145"/>
      <c r="H97" s="145" t="s">
        <v>258</v>
      </c>
      <c r="I97" s="145">
        <v>3</v>
      </c>
      <c r="J97" s="145">
        <v>2325</v>
      </c>
    </row>
    <row r="98" spans="1:10" x14ac:dyDescent="0.2">
      <c r="A98" s="145"/>
      <c r="B98" s="145" t="s">
        <v>90</v>
      </c>
      <c r="C98" s="145">
        <v>3</v>
      </c>
      <c r="D98" s="145">
        <v>1400</v>
      </c>
      <c r="E98" s="145"/>
      <c r="F98" s="115"/>
      <c r="G98" s="145"/>
      <c r="H98" s="145" t="s">
        <v>70</v>
      </c>
      <c r="I98" s="145">
        <v>3</v>
      </c>
      <c r="J98" s="145">
        <v>2325</v>
      </c>
    </row>
    <row r="99" spans="1:10" x14ac:dyDescent="0.2">
      <c r="A99" s="145" t="s">
        <v>95</v>
      </c>
      <c r="B99" s="145" t="s">
        <v>30</v>
      </c>
      <c r="C99" s="145">
        <v>4</v>
      </c>
      <c r="D99" s="145">
        <v>1800</v>
      </c>
      <c r="E99" s="145"/>
      <c r="F99" s="115"/>
      <c r="G99" s="145"/>
      <c r="H99" s="145" t="s">
        <v>69</v>
      </c>
      <c r="I99" s="145">
        <v>3</v>
      </c>
      <c r="J99" s="145">
        <v>2325</v>
      </c>
    </row>
    <row r="100" spans="1:10" x14ac:dyDescent="0.2">
      <c r="A100" s="145">
        <v>19</v>
      </c>
      <c r="B100" s="145" t="s">
        <v>158</v>
      </c>
      <c r="C100" s="145">
        <v>4</v>
      </c>
      <c r="D100" s="145">
        <v>1800</v>
      </c>
      <c r="E100" s="145"/>
      <c r="F100" s="115"/>
      <c r="G100" s="145"/>
      <c r="H100" s="145" t="s">
        <v>257</v>
      </c>
      <c r="I100" s="145">
        <v>3</v>
      </c>
      <c r="J100" s="145">
        <v>2325</v>
      </c>
    </row>
    <row r="101" spans="1:10" x14ac:dyDescent="0.2">
      <c r="A101" s="145">
        <v>19</v>
      </c>
      <c r="B101" s="145" t="s">
        <v>285</v>
      </c>
      <c r="C101" s="145">
        <v>2</v>
      </c>
      <c r="D101" s="145">
        <v>700</v>
      </c>
      <c r="E101" s="145">
        <f>390</f>
        <v>390</v>
      </c>
      <c r="F101" s="115"/>
      <c r="G101" s="145"/>
      <c r="H101" s="145" t="s">
        <v>72</v>
      </c>
      <c r="I101" s="145">
        <v>3</v>
      </c>
      <c r="J101" s="145">
        <v>2325</v>
      </c>
    </row>
    <row r="102" spans="1:10" x14ac:dyDescent="0.2">
      <c r="A102" s="145" t="s">
        <v>279</v>
      </c>
      <c r="B102" s="145" t="s">
        <v>305</v>
      </c>
      <c r="C102" s="145">
        <v>2</v>
      </c>
      <c r="D102" s="145">
        <v>700</v>
      </c>
      <c r="E102" s="145"/>
      <c r="F102" s="115"/>
      <c r="G102" s="145"/>
      <c r="H102" s="145" t="s">
        <v>71</v>
      </c>
      <c r="I102" s="145">
        <v>3</v>
      </c>
      <c r="J102" s="145">
        <v>2325</v>
      </c>
    </row>
    <row r="103" spans="1:10" x14ac:dyDescent="0.2">
      <c r="A103" s="149" t="s">
        <v>301</v>
      </c>
      <c r="B103" s="145" t="s">
        <v>306</v>
      </c>
      <c r="C103" s="145">
        <v>4</v>
      </c>
      <c r="D103" s="145">
        <v>1800</v>
      </c>
      <c r="E103" s="145"/>
      <c r="F103" s="115"/>
      <c r="G103" s="145" t="s">
        <v>95</v>
      </c>
      <c r="H103" s="145" t="s">
        <v>259</v>
      </c>
      <c r="I103" s="145">
        <v>3</v>
      </c>
      <c r="J103" s="145">
        <v>2325</v>
      </c>
    </row>
    <row r="104" spans="1:10" x14ac:dyDescent="0.2">
      <c r="A104" s="149" t="s">
        <v>301</v>
      </c>
      <c r="B104" s="145" t="s">
        <v>221</v>
      </c>
      <c r="C104" s="145">
        <v>3</v>
      </c>
      <c r="D104" s="145">
        <v>1400</v>
      </c>
      <c r="E104" s="145"/>
      <c r="F104" s="115"/>
      <c r="G104" s="145" t="s">
        <v>95</v>
      </c>
      <c r="H104" s="145" t="s">
        <v>74</v>
      </c>
      <c r="I104" s="145">
        <v>3</v>
      </c>
      <c r="J104" s="145">
        <v>2325</v>
      </c>
    </row>
    <row r="105" spans="1:10" x14ac:dyDescent="0.2">
      <c r="A105" s="145" t="s">
        <v>214</v>
      </c>
      <c r="B105" s="145" t="s">
        <v>148</v>
      </c>
      <c r="C105" s="145">
        <v>3</v>
      </c>
      <c r="D105" s="145">
        <v>1400</v>
      </c>
      <c r="E105" s="145"/>
      <c r="F105" s="115"/>
      <c r="G105" s="145" t="s">
        <v>95</v>
      </c>
      <c r="H105" s="145" t="s">
        <v>73</v>
      </c>
      <c r="I105" s="145">
        <v>3</v>
      </c>
      <c r="J105" s="145">
        <v>2325</v>
      </c>
    </row>
    <row r="106" spans="1:10" x14ac:dyDescent="0.2">
      <c r="A106" s="145"/>
      <c r="B106" s="145" t="s">
        <v>147</v>
      </c>
      <c r="C106" s="145">
        <v>3</v>
      </c>
      <c r="D106" s="145">
        <v>1400</v>
      </c>
      <c r="E106" s="145"/>
      <c r="F106" s="115"/>
      <c r="G106" s="145"/>
      <c r="H106" s="145" t="s">
        <v>260</v>
      </c>
      <c r="I106" s="145">
        <v>4</v>
      </c>
      <c r="J106" s="145">
        <v>2465</v>
      </c>
    </row>
    <row r="107" spans="1:10" x14ac:dyDescent="0.2">
      <c r="A107" s="145"/>
      <c r="B107" s="145" t="s">
        <v>91</v>
      </c>
      <c r="C107" s="145">
        <v>3</v>
      </c>
      <c r="D107" s="145">
        <v>1400</v>
      </c>
      <c r="E107" s="145"/>
      <c r="F107" s="115"/>
      <c r="G107" s="145" t="s">
        <v>95</v>
      </c>
      <c r="H107" s="145" t="s">
        <v>261</v>
      </c>
      <c r="I107" s="145">
        <v>3</v>
      </c>
      <c r="J107" s="145">
        <v>2325</v>
      </c>
    </row>
    <row r="108" spans="1:10" x14ac:dyDescent="0.2">
      <c r="A108" s="145" t="s">
        <v>95</v>
      </c>
      <c r="B108" s="145" t="s">
        <v>27</v>
      </c>
      <c r="C108" s="145">
        <v>4</v>
      </c>
      <c r="D108" s="145">
        <v>1800</v>
      </c>
      <c r="E108" s="145"/>
      <c r="F108" s="115"/>
      <c r="G108" s="145" t="s">
        <v>95</v>
      </c>
      <c r="H108" s="145" t="s">
        <v>76</v>
      </c>
      <c r="I108" s="145">
        <v>3</v>
      </c>
      <c r="J108" s="145">
        <v>2325</v>
      </c>
    </row>
    <row r="109" spans="1:10" x14ac:dyDescent="0.2">
      <c r="A109" s="145"/>
      <c r="B109" s="145" t="s">
        <v>92</v>
      </c>
      <c r="C109" s="145">
        <v>3</v>
      </c>
      <c r="D109" s="145">
        <v>1400</v>
      </c>
      <c r="E109" s="145"/>
      <c r="F109" s="115"/>
      <c r="G109" s="145" t="s">
        <v>95</v>
      </c>
      <c r="H109" s="145" t="s">
        <v>75</v>
      </c>
      <c r="I109" s="145">
        <v>3</v>
      </c>
      <c r="J109" s="145">
        <v>2325</v>
      </c>
    </row>
    <row r="110" spans="1:10" x14ac:dyDescent="0.2">
      <c r="A110" s="145" t="s">
        <v>95</v>
      </c>
      <c r="B110" s="145" t="s">
        <v>93</v>
      </c>
      <c r="C110" s="145">
        <v>3</v>
      </c>
      <c r="D110" s="145">
        <v>1400</v>
      </c>
      <c r="E110" s="145"/>
      <c r="F110" s="115"/>
      <c r="G110" s="145"/>
      <c r="H110" s="145" t="s">
        <v>262</v>
      </c>
      <c r="I110" s="145">
        <v>3</v>
      </c>
      <c r="J110" s="145">
        <v>2325</v>
      </c>
    </row>
    <row r="111" spans="1:10" x14ac:dyDescent="0.2">
      <c r="A111" s="145" t="s">
        <v>95</v>
      </c>
      <c r="B111" s="145" t="s">
        <v>187</v>
      </c>
      <c r="C111" s="145">
        <v>4</v>
      </c>
      <c r="D111" s="145">
        <v>1800</v>
      </c>
      <c r="E111" s="145"/>
      <c r="F111" s="115"/>
      <c r="G111" s="145" t="s">
        <v>95</v>
      </c>
      <c r="H111" s="145" t="s">
        <v>78</v>
      </c>
      <c r="I111" s="145">
        <v>3</v>
      </c>
      <c r="J111" s="145">
        <v>2325</v>
      </c>
    </row>
    <row r="112" spans="1:10" x14ac:dyDescent="0.2">
      <c r="A112" s="145">
        <v>19</v>
      </c>
      <c r="B112" s="145" t="s">
        <v>307</v>
      </c>
      <c r="C112" s="145">
        <v>4</v>
      </c>
      <c r="D112" s="145">
        <v>1800</v>
      </c>
      <c r="E112" s="145"/>
      <c r="F112" s="115"/>
      <c r="G112" s="145" t="s">
        <v>95</v>
      </c>
      <c r="H112" s="145" t="s">
        <v>77</v>
      </c>
      <c r="I112" s="145">
        <v>3</v>
      </c>
      <c r="J112" s="145">
        <v>2325</v>
      </c>
    </row>
    <row r="113" spans="1:10" x14ac:dyDescent="0.2">
      <c r="A113" s="149" t="s">
        <v>301</v>
      </c>
      <c r="B113" s="145" t="s">
        <v>211</v>
      </c>
      <c r="C113" s="145">
        <v>3</v>
      </c>
      <c r="D113" s="145">
        <v>1400</v>
      </c>
      <c r="E113" s="145"/>
      <c r="F113" s="115"/>
      <c r="G113" s="145"/>
      <c r="H113" s="145" t="s">
        <v>389</v>
      </c>
      <c r="I113" s="145">
        <v>4</v>
      </c>
      <c r="J113" s="145">
        <v>2465</v>
      </c>
    </row>
    <row r="114" spans="1:10" x14ac:dyDescent="0.2">
      <c r="A114" s="145">
        <v>19</v>
      </c>
      <c r="B114" s="145" t="s">
        <v>189</v>
      </c>
      <c r="C114" s="145">
        <v>5</v>
      </c>
      <c r="D114" s="145">
        <v>2100</v>
      </c>
      <c r="E114" s="145"/>
      <c r="F114" s="115"/>
      <c r="G114" s="145"/>
      <c r="H114" s="145" t="s">
        <v>404</v>
      </c>
      <c r="I114" s="145">
        <v>4</v>
      </c>
      <c r="J114" s="145">
        <v>2465</v>
      </c>
    </row>
    <row r="115" spans="1:10" x14ac:dyDescent="0.2">
      <c r="A115" s="145">
        <v>19</v>
      </c>
      <c r="B115" s="145" t="s">
        <v>383</v>
      </c>
      <c r="C115" s="145">
        <v>4</v>
      </c>
      <c r="D115" s="145">
        <v>1800</v>
      </c>
      <c r="E115" s="145"/>
      <c r="F115" s="115"/>
      <c r="G115" s="145"/>
      <c r="H115" s="145" t="s">
        <v>390</v>
      </c>
      <c r="I115" s="145">
        <v>4</v>
      </c>
      <c r="J115" s="145">
        <v>2465</v>
      </c>
    </row>
    <row r="116" spans="1:10" x14ac:dyDescent="0.2">
      <c r="A116" s="145"/>
      <c r="B116" s="145" t="s">
        <v>398</v>
      </c>
      <c r="C116" s="145">
        <v>4</v>
      </c>
      <c r="D116" s="145">
        <v>1800</v>
      </c>
      <c r="E116" s="145"/>
      <c r="F116" s="115"/>
      <c r="G116" s="145"/>
      <c r="H116" s="145" t="s">
        <v>405</v>
      </c>
      <c r="I116" s="145">
        <v>4</v>
      </c>
      <c r="J116" s="145">
        <v>2465</v>
      </c>
    </row>
    <row r="117" spans="1:10" x14ac:dyDescent="0.2">
      <c r="A117" s="145"/>
      <c r="B117" s="145" t="s">
        <v>18</v>
      </c>
      <c r="C117" s="145">
        <v>3</v>
      </c>
      <c r="D117" s="145">
        <v>1400</v>
      </c>
      <c r="E117" s="145"/>
      <c r="F117" s="115"/>
      <c r="G117" s="145"/>
      <c r="H117" s="145" t="s">
        <v>391</v>
      </c>
      <c r="I117" s="145">
        <v>4</v>
      </c>
      <c r="J117" s="145">
        <v>2465</v>
      </c>
    </row>
    <row r="118" spans="1:10" x14ac:dyDescent="0.2">
      <c r="A118" s="145"/>
      <c r="B118" s="145" t="s">
        <v>146</v>
      </c>
      <c r="C118" s="147">
        <v>2</v>
      </c>
      <c r="D118" s="145">
        <f>1230+85</f>
        <v>1315</v>
      </c>
      <c r="E118" s="145"/>
      <c r="F118" s="115"/>
      <c r="G118" s="145"/>
      <c r="H118" s="145" t="s">
        <v>406</v>
      </c>
      <c r="I118" s="145">
        <v>4</v>
      </c>
      <c r="J118" s="145">
        <v>2465</v>
      </c>
    </row>
    <row r="119" spans="1:10" x14ac:dyDescent="0.2">
      <c r="A119" s="145" t="s">
        <v>131</v>
      </c>
      <c r="B119" s="145" t="s">
        <v>145</v>
      </c>
      <c r="C119" s="147">
        <v>1</v>
      </c>
      <c r="D119" s="145">
        <f>380+100+85</f>
        <v>565</v>
      </c>
      <c r="E119" s="145"/>
      <c r="F119" s="115"/>
      <c r="G119" s="145"/>
      <c r="H119" s="145" t="s">
        <v>263</v>
      </c>
      <c r="I119" s="145">
        <v>3</v>
      </c>
      <c r="J119" s="145">
        <v>2325</v>
      </c>
    </row>
    <row r="120" spans="1:10" x14ac:dyDescent="0.2">
      <c r="A120" s="145" t="s">
        <v>131</v>
      </c>
      <c r="B120" s="145" t="s">
        <v>415</v>
      </c>
      <c r="C120" s="147">
        <v>2</v>
      </c>
      <c r="D120" s="145">
        <f>1230+85</f>
        <v>1315</v>
      </c>
      <c r="E120" s="145"/>
      <c r="F120" s="115"/>
      <c r="G120" s="145"/>
      <c r="H120" s="145" t="s">
        <v>80</v>
      </c>
      <c r="I120" s="145">
        <v>3</v>
      </c>
      <c r="J120" s="145">
        <v>2325</v>
      </c>
    </row>
    <row r="121" spans="1:10" x14ac:dyDescent="0.2">
      <c r="A121" s="145" t="s">
        <v>131</v>
      </c>
      <c r="B121" s="145" t="s">
        <v>315</v>
      </c>
      <c r="C121" s="147">
        <v>2</v>
      </c>
      <c r="D121" s="145">
        <v>700</v>
      </c>
      <c r="E121" s="145"/>
      <c r="F121" s="115"/>
      <c r="G121" s="145"/>
      <c r="H121" s="145" t="s">
        <v>79</v>
      </c>
      <c r="I121" s="145">
        <v>3</v>
      </c>
      <c r="J121" s="145">
        <v>2325</v>
      </c>
    </row>
    <row r="122" spans="1:10" x14ac:dyDescent="0.2">
      <c r="A122" s="146"/>
      <c r="B122" s="145" t="s">
        <v>316</v>
      </c>
      <c r="C122" s="147">
        <v>2</v>
      </c>
      <c r="D122" s="145">
        <v>700</v>
      </c>
      <c r="E122" s="145"/>
      <c r="F122" s="115"/>
      <c r="G122" s="145"/>
      <c r="H122" s="145" t="s">
        <v>264</v>
      </c>
      <c r="I122" s="145">
        <v>3</v>
      </c>
      <c r="J122" s="145">
        <v>2325</v>
      </c>
    </row>
    <row r="123" spans="1:10" x14ac:dyDescent="0.2">
      <c r="A123" s="146"/>
      <c r="B123" s="145" t="s">
        <v>317</v>
      </c>
      <c r="C123" s="147">
        <v>3</v>
      </c>
      <c r="D123" s="145">
        <v>1400</v>
      </c>
      <c r="E123" s="145"/>
      <c r="F123" s="115"/>
      <c r="G123" s="145"/>
      <c r="H123" s="145" t="s">
        <v>275</v>
      </c>
      <c r="I123" s="145">
        <v>3</v>
      </c>
      <c r="J123" s="145">
        <v>2325</v>
      </c>
    </row>
    <row r="124" spans="1:10" x14ac:dyDescent="0.2">
      <c r="A124" s="146"/>
      <c r="B124" s="145" t="s">
        <v>286</v>
      </c>
      <c r="C124" s="145">
        <v>2</v>
      </c>
      <c r="D124" s="145">
        <v>700</v>
      </c>
      <c r="E124" s="145">
        <f>230</f>
        <v>230</v>
      </c>
      <c r="F124" s="145"/>
      <c r="G124" s="145"/>
      <c r="H124" s="145" t="s">
        <v>265</v>
      </c>
      <c r="I124" s="145">
        <v>3</v>
      </c>
      <c r="J124" s="145">
        <v>2325</v>
      </c>
    </row>
    <row r="125" spans="1:10" x14ac:dyDescent="0.2">
      <c r="A125" s="145" t="s">
        <v>279</v>
      </c>
      <c r="B125" s="145" t="s">
        <v>19</v>
      </c>
      <c r="C125" s="145">
        <v>2</v>
      </c>
      <c r="D125" s="145">
        <v>700</v>
      </c>
      <c r="E125" s="145"/>
      <c r="F125" s="115"/>
      <c r="G125" s="145" t="s">
        <v>95</v>
      </c>
      <c r="H125" s="145" t="s">
        <v>266</v>
      </c>
      <c r="I125" s="145">
        <v>3</v>
      </c>
      <c r="J125" s="145">
        <v>2325</v>
      </c>
    </row>
    <row r="126" spans="1:10" x14ac:dyDescent="0.2">
      <c r="A126" s="145"/>
      <c r="B126" s="145" t="s">
        <v>212</v>
      </c>
      <c r="C126" s="145">
        <v>3</v>
      </c>
      <c r="D126" s="145">
        <v>1400</v>
      </c>
      <c r="E126" s="145"/>
      <c r="F126" s="115"/>
      <c r="G126" s="145" t="s">
        <v>95</v>
      </c>
      <c r="H126" s="145" t="s">
        <v>82</v>
      </c>
      <c r="I126" s="145">
        <v>3</v>
      </c>
      <c r="J126" s="145">
        <v>2325</v>
      </c>
    </row>
    <row r="127" spans="1:10" x14ac:dyDescent="0.2">
      <c r="A127" s="145">
        <v>19</v>
      </c>
      <c r="B127" s="145" t="s">
        <v>308</v>
      </c>
      <c r="C127" s="145">
        <v>5</v>
      </c>
      <c r="D127" s="145">
        <v>2100</v>
      </c>
      <c r="E127" s="145"/>
      <c r="F127" s="115"/>
      <c r="G127" s="145" t="s">
        <v>95</v>
      </c>
      <c r="H127" s="145" t="s">
        <v>81</v>
      </c>
      <c r="I127" s="145">
        <v>3</v>
      </c>
      <c r="J127" s="145">
        <v>2325</v>
      </c>
    </row>
    <row r="128" spans="1:10" x14ac:dyDescent="0.2">
      <c r="A128" s="149" t="s">
        <v>301</v>
      </c>
      <c r="B128" s="145" t="s">
        <v>94</v>
      </c>
      <c r="C128" s="145">
        <v>3</v>
      </c>
      <c r="D128" s="145">
        <v>1400</v>
      </c>
      <c r="E128" s="145"/>
      <c r="F128" s="115"/>
      <c r="G128" s="145" t="s">
        <v>95</v>
      </c>
      <c r="H128" s="145" t="s">
        <v>392</v>
      </c>
      <c r="I128" s="145">
        <v>3</v>
      </c>
      <c r="J128" s="145">
        <v>2325</v>
      </c>
    </row>
    <row r="129" spans="1:10" x14ac:dyDescent="0.2">
      <c r="A129" s="145" t="s">
        <v>95</v>
      </c>
      <c r="B129" s="145" t="s">
        <v>183</v>
      </c>
      <c r="C129" s="145">
        <v>2</v>
      </c>
      <c r="D129" s="145">
        <v>700</v>
      </c>
      <c r="E129" s="145"/>
      <c r="F129" s="115"/>
      <c r="G129" s="145" t="s">
        <v>95</v>
      </c>
      <c r="H129" s="145" t="s">
        <v>407</v>
      </c>
      <c r="I129" s="145">
        <v>3</v>
      </c>
      <c r="J129" s="145">
        <v>2325</v>
      </c>
    </row>
    <row r="130" spans="1:10" x14ac:dyDescent="0.2">
      <c r="A130" s="145">
        <v>19</v>
      </c>
      <c r="B130" s="145" t="s">
        <v>296</v>
      </c>
      <c r="C130" s="145">
        <v>4</v>
      </c>
      <c r="D130" s="145">
        <v>1800</v>
      </c>
      <c r="E130" s="145"/>
      <c r="F130" s="115"/>
      <c r="G130" s="145" t="s">
        <v>95</v>
      </c>
      <c r="H130" s="145" t="s">
        <v>393</v>
      </c>
      <c r="I130" s="145">
        <v>3</v>
      </c>
      <c r="J130" s="145">
        <v>2325</v>
      </c>
    </row>
    <row r="131" spans="1:10" x14ac:dyDescent="0.2">
      <c r="A131" s="145" t="s">
        <v>290</v>
      </c>
      <c r="B131" s="145" t="s">
        <v>384</v>
      </c>
      <c r="C131" s="145">
        <v>3</v>
      </c>
      <c r="D131" s="145">
        <v>1400</v>
      </c>
      <c r="E131" s="145"/>
      <c r="F131" s="115"/>
      <c r="G131" s="145" t="s">
        <v>95</v>
      </c>
      <c r="H131" s="145" t="s">
        <v>408</v>
      </c>
      <c r="I131" s="145">
        <v>3</v>
      </c>
      <c r="J131" s="145">
        <v>2325</v>
      </c>
    </row>
    <row r="132" spans="1:10" x14ac:dyDescent="0.2">
      <c r="A132" s="145" t="s">
        <v>95</v>
      </c>
      <c r="B132" s="145" t="s">
        <v>399</v>
      </c>
      <c r="C132" s="145">
        <v>3</v>
      </c>
      <c r="D132" s="145">
        <v>1400</v>
      </c>
      <c r="E132" s="145"/>
      <c r="F132" s="115"/>
      <c r="G132" s="145"/>
      <c r="H132" s="145" t="s">
        <v>267</v>
      </c>
      <c r="I132" s="145">
        <v>2</v>
      </c>
      <c r="J132" s="145">
        <v>1725</v>
      </c>
    </row>
    <row r="133" spans="1:10" x14ac:dyDescent="0.2">
      <c r="A133" s="145" t="s">
        <v>95</v>
      </c>
      <c r="B133" s="145" t="s">
        <v>303</v>
      </c>
      <c r="C133" s="145">
        <v>4</v>
      </c>
      <c r="D133" s="145">
        <v>1800</v>
      </c>
      <c r="E133" s="145"/>
      <c r="F133" s="115"/>
      <c r="G133" s="145"/>
      <c r="H133" s="145" t="s">
        <v>184</v>
      </c>
      <c r="I133" s="145">
        <v>2</v>
      </c>
      <c r="J133" s="145">
        <v>1725</v>
      </c>
    </row>
    <row r="134" spans="1:10" x14ac:dyDescent="0.2">
      <c r="A134" s="149" t="s">
        <v>301</v>
      </c>
      <c r="B134" s="145" t="s">
        <v>432</v>
      </c>
      <c r="C134" s="145">
        <v>3</v>
      </c>
      <c r="D134" s="145">
        <v>1400</v>
      </c>
      <c r="E134" s="145"/>
      <c r="F134" s="115"/>
      <c r="G134" s="145"/>
      <c r="H134" s="145" t="s">
        <v>185</v>
      </c>
      <c r="I134" s="145">
        <v>2</v>
      </c>
      <c r="J134" s="145">
        <v>1725</v>
      </c>
    </row>
    <row r="135" spans="1:10" x14ac:dyDescent="0.2">
      <c r="A135" s="145" t="s">
        <v>131</v>
      </c>
      <c r="B135" s="145" t="s">
        <v>433</v>
      </c>
      <c r="C135" s="145">
        <v>3</v>
      </c>
      <c r="D135" s="145">
        <v>1400</v>
      </c>
      <c r="E135" s="145"/>
      <c r="F135" s="115"/>
      <c r="G135" s="145" t="s">
        <v>95</v>
      </c>
      <c r="H135" s="145" t="s">
        <v>394</v>
      </c>
      <c r="I135" s="145">
        <v>3</v>
      </c>
      <c r="J135" s="145">
        <v>2325</v>
      </c>
    </row>
    <row r="136" spans="1:10" x14ac:dyDescent="0.2">
      <c r="A136" s="145" t="s">
        <v>131</v>
      </c>
      <c r="B136" s="145" t="s">
        <v>434</v>
      </c>
      <c r="C136" s="145">
        <v>3</v>
      </c>
      <c r="D136" s="145">
        <v>1400</v>
      </c>
      <c r="E136" s="145"/>
      <c r="F136" s="115"/>
      <c r="G136" s="145" t="s">
        <v>95</v>
      </c>
      <c r="H136" s="145" t="s">
        <v>409</v>
      </c>
      <c r="I136" s="145">
        <v>3</v>
      </c>
      <c r="J136" s="145">
        <v>2325</v>
      </c>
    </row>
    <row r="137" spans="1:10" x14ac:dyDescent="0.2">
      <c r="A137" s="145" t="s">
        <v>131</v>
      </c>
      <c r="B137" s="145" t="s">
        <v>435</v>
      </c>
      <c r="C137" s="145">
        <v>3</v>
      </c>
      <c r="D137" s="145">
        <v>1400</v>
      </c>
      <c r="E137" s="145"/>
      <c r="F137" s="115"/>
      <c r="G137" s="145" t="s">
        <v>95</v>
      </c>
      <c r="H137" s="145" t="s">
        <v>395</v>
      </c>
      <c r="I137" s="145">
        <v>3</v>
      </c>
      <c r="J137" s="145">
        <v>2325</v>
      </c>
    </row>
    <row r="138" spans="1:10" x14ac:dyDescent="0.2">
      <c r="A138" s="145" t="s">
        <v>131</v>
      </c>
      <c r="B138" s="145" t="s">
        <v>436</v>
      </c>
      <c r="C138" s="145">
        <v>3</v>
      </c>
      <c r="D138" s="145">
        <v>1400</v>
      </c>
      <c r="E138" s="145"/>
      <c r="G138" s="145" t="s">
        <v>95</v>
      </c>
      <c r="H138" s="145" t="s">
        <v>410</v>
      </c>
      <c r="I138" s="145">
        <v>3</v>
      </c>
      <c r="J138" s="145">
        <v>2325</v>
      </c>
    </row>
    <row r="139" spans="1:10" x14ac:dyDescent="0.2">
      <c r="A139" s="145" t="s">
        <v>131</v>
      </c>
      <c r="B139" s="145" t="s">
        <v>437</v>
      </c>
      <c r="C139" s="145">
        <v>3</v>
      </c>
      <c r="D139" s="145">
        <v>1400</v>
      </c>
      <c r="E139" s="145"/>
      <c r="G139" s="145" t="s">
        <v>95</v>
      </c>
      <c r="H139" s="145" t="s">
        <v>396</v>
      </c>
      <c r="I139" s="145">
        <v>3</v>
      </c>
      <c r="J139" s="145">
        <v>2325</v>
      </c>
    </row>
    <row r="140" spans="1:10" x14ac:dyDescent="0.2">
      <c r="A140" s="145" t="s">
        <v>131</v>
      </c>
      <c r="B140" s="145" t="s">
        <v>438</v>
      </c>
      <c r="C140" s="145">
        <v>3</v>
      </c>
      <c r="D140" s="145">
        <v>1400</v>
      </c>
      <c r="E140" s="145"/>
      <c r="G140" s="145" t="s">
        <v>95</v>
      </c>
      <c r="H140" s="145" t="s">
        <v>411</v>
      </c>
      <c r="I140" s="145">
        <v>3</v>
      </c>
      <c r="J140" s="145">
        <v>2325</v>
      </c>
    </row>
    <row r="141" spans="1:10" x14ac:dyDescent="0.2">
      <c r="A141" s="145" t="s">
        <v>131</v>
      </c>
      <c r="B141" s="145" t="s">
        <v>439</v>
      </c>
      <c r="C141" s="145">
        <v>3</v>
      </c>
      <c r="D141" s="145">
        <v>1400</v>
      </c>
      <c r="E141" s="145"/>
    </row>
    <row r="142" spans="1:10" x14ac:dyDescent="0.2">
      <c r="A142" s="145" t="s">
        <v>131</v>
      </c>
      <c r="B142" s="145" t="s">
        <v>385</v>
      </c>
      <c r="C142" s="145">
        <v>3</v>
      </c>
      <c r="D142" s="145">
        <v>1400</v>
      </c>
      <c r="E142" s="145"/>
      <c r="G142" s="145"/>
      <c r="H142" s="145"/>
      <c r="I142" s="115"/>
      <c r="J142" s="115"/>
    </row>
    <row r="143" spans="1:10" x14ac:dyDescent="0.2">
      <c r="A143" s="145" t="s">
        <v>95</v>
      </c>
      <c r="B143" s="145" t="s">
        <v>400</v>
      </c>
      <c r="C143" s="145">
        <v>3</v>
      </c>
      <c r="D143" s="145">
        <v>1400</v>
      </c>
      <c r="E143" s="145"/>
      <c r="G143" s="145"/>
      <c r="H143" s="145"/>
      <c r="I143" s="115"/>
      <c r="J143" s="115"/>
    </row>
    <row r="144" spans="1:10" x14ac:dyDescent="0.2">
      <c r="A144" s="145" t="s">
        <v>95</v>
      </c>
      <c r="B144" s="145" t="s">
        <v>28</v>
      </c>
      <c r="C144" s="145">
        <v>4</v>
      </c>
      <c r="D144" s="145">
        <v>1800</v>
      </c>
      <c r="E144" s="145"/>
      <c r="G144" s="145"/>
      <c r="H144" s="145"/>
      <c r="I144" s="115"/>
      <c r="J144" s="115"/>
    </row>
    <row r="145" spans="1:10" x14ac:dyDescent="0.2">
      <c r="A145" s="145">
        <v>19</v>
      </c>
      <c r="G145" s="145"/>
      <c r="H145" s="145"/>
      <c r="I145" s="115"/>
      <c r="J145" s="115"/>
    </row>
    <row r="146" spans="1:10" x14ac:dyDescent="0.2">
      <c r="A146" s="145"/>
      <c r="G146" s="145"/>
      <c r="H146" s="145"/>
      <c r="I146" s="115"/>
      <c r="J146" s="115"/>
    </row>
    <row r="147" spans="1:10" x14ac:dyDescent="0.2">
      <c r="G147" s="145"/>
      <c r="H147" s="145"/>
      <c r="I147" s="115"/>
      <c r="J147" s="115"/>
    </row>
    <row r="148" spans="1:10" x14ac:dyDescent="0.2">
      <c r="B148" s="145"/>
      <c r="C148" s="115"/>
      <c r="D148" s="115"/>
      <c r="E148" s="115"/>
      <c r="G148" s="145"/>
      <c r="H148" s="145"/>
      <c r="I148" s="115"/>
      <c r="J148" s="115"/>
    </row>
    <row r="149" spans="1:10" x14ac:dyDescent="0.2">
      <c r="B149" s="145"/>
      <c r="C149" s="115"/>
      <c r="D149" s="115"/>
      <c r="E149" s="115"/>
      <c r="G149" s="145"/>
      <c r="H149" s="145"/>
      <c r="I149" s="115"/>
      <c r="J149" s="115"/>
    </row>
    <row r="150" spans="1:10" x14ac:dyDescent="0.2">
      <c r="A150" s="145"/>
      <c r="B150" s="145"/>
      <c r="C150" s="115"/>
      <c r="D150" s="115"/>
      <c r="E150" s="115"/>
      <c r="G150" s="145"/>
      <c r="H150" s="145"/>
      <c r="I150" s="115"/>
      <c r="J150" s="115"/>
    </row>
    <row r="151" spans="1:10" x14ac:dyDescent="0.2">
      <c r="A151" s="145"/>
      <c r="B151" s="145"/>
      <c r="C151" s="115"/>
      <c r="D151" s="115"/>
      <c r="E151" s="115"/>
      <c r="G151" s="145"/>
      <c r="H151" s="145"/>
      <c r="I151" s="115"/>
      <c r="J151" s="115"/>
    </row>
    <row r="152" spans="1:10" x14ac:dyDescent="0.2">
      <c r="A152" s="145"/>
      <c r="B152" s="145"/>
      <c r="C152" s="115"/>
      <c r="D152" s="115"/>
      <c r="E152" s="115"/>
      <c r="G152" s="145"/>
      <c r="H152" s="145"/>
      <c r="I152" s="115"/>
      <c r="J152" s="115"/>
    </row>
    <row r="153" spans="1:10" x14ac:dyDescent="0.2">
      <c r="A153" s="145"/>
      <c r="B153" s="145"/>
      <c r="C153" s="115"/>
      <c r="D153" s="115"/>
      <c r="E153" s="115"/>
      <c r="G153" s="145"/>
      <c r="H153" s="145"/>
      <c r="I153" s="115"/>
      <c r="J153" s="115"/>
    </row>
    <row r="154" spans="1:10" x14ac:dyDescent="0.2">
      <c r="A154" s="145"/>
      <c r="B154" s="145"/>
      <c r="C154" s="115"/>
      <c r="D154" s="115"/>
      <c r="E154" s="115"/>
      <c r="G154" s="145"/>
      <c r="H154" s="145"/>
      <c r="I154" s="115"/>
      <c r="J154" s="115"/>
    </row>
    <row r="155" spans="1:10" x14ac:dyDescent="0.2">
      <c r="A155" s="145"/>
      <c r="B155" s="145"/>
      <c r="C155" s="115"/>
      <c r="D155" s="115"/>
      <c r="E155" s="115"/>
      <c r="G155" s="145"/>
      <c r="H155" s="145"/>
      <c r="I155" s="115"/>
      <c r="J155" s="115"/>
    </row>
    <row r="156" spans="1:10" x14ac:dyDescent="0.2">
      <c r="A156" s="145"/>
      <c r="B156" s="145"/>
      <c r="C156" s="115"/>
      <c r="D156" s="115"/>
      <c r="E156" s="115"/>
      <c r="G156" s="145"/>
      <c r="H156" s="145"/>
      <c r="I156" s="115"/>
      <c r="J156" s="115"/>
    </row>
    <row r="157" spans="1:10" x14ac:dyDescent="0.2">
      <c r="A157" s="145"/>
      <c r="B157" s="145"/>
      <c r="C157" s="115"/>
      <c r="D157" s="115"/>
      <c r="E157" s="115"/>
    </row>
    <row r="158" spans="1:10" x14ac:dyDescent="0.2">
      <c r="A158" s="145"/>
      <c r="B158" s="145"/>
      <c r="C158" s="115"/>
      <c r="D158" s="115"/>
      <c r="E158" s="115"/>
    </row>
    <row r="159" spans="1:10" x14ac:dyDescent="0.2">
      <c r="A159" s="145"/>
      <c r="B159" s="145"/>
      <c r="C159" s="115"/>
      <c r="D159" s="115"/>
      <c r="E159" s="115"/>
    </row>
    <row r="160" spans="1:10" x14ac:dyDescent="0.2">
      <c r="A160" s="145"/>
      <c r="B160" s="145"/>
      <c r="C160" s="115"/>
      <c r="D160" s="115"/>
      <c r="E160" s="115"/>
    </row>
    <row r="161" spans="1:5" x14ac:dyDescent="0.2">
      <c r="A161" s="145"/>
      <c r="B161" s="145"/>
      <c r="C161" s="115"/>
      <c r="D161" s="115"/>
      <c r="E161" s="115"/>
    </row>
    <row r="162" spans="1:5" x14ac:dyDescent="0.2">
      <c r="A162" s="145"/>
      <c r="B162" s="145"/>
      <c r="C162" s="115"/>
      <c r="D162" s="115"/>
      <c r="E162" s="115"/>
    </row>
    <row r="163" spans="1:5" x14ac:dyDescent="0.2">
      <c r="A163" s="145"/>
      <c r="B163" s="145"/>
      <c r="C163" s="115"/>
      <c r="D163" s="115"/>
      <c r="E163" s="115"/>
    </row>
    <row r="164" spans="1:5" x14ac:dyDescent="0.2">
      <c r="A164" s="145"/>
      <c r="B164" s="145"/>
      <c r="C164" s="115"/>
      <c r="D164" s="115"/>
      <c r="E164" s="115"/>
    </row>
    <row r="165" spans="1:5" x14ac:dyDescent="0.2">
      <c r="A165" s="145"/>
      <c r="B165" s="145"/>
      <c r="C165" s="115"/>
      <c r="D165" s="115"/>
      <c r="E165" s="115"/>
    </row>
    <row r="166" spans="1:5" x14ac:dyDescent="0.2">
      <c r="A166" s="145"/>
      <c r="B166" s="145"/>
      <c r="C166" s="115"/>
      <c r="D166" s="115"/>
      <c r="E166" s="115"/>
    </row>
    <row r="167" spans="1:5" x14ac:dyDescent="0.2">
      <c r="A167" s="145"/>
      <c r="B167" s="145"/>
      <c r="C167" s="115"/>
      <c r="D167" s="115"/>
      <c r="E167" s="115"/>
    </row>
    <row r="168" spans="1:5" x14ac:dyDescent="0.2">
      <c r="A168" s="145"/>
      <c r="B168" s="145"/>
      <c r="C168" s="115"/>
      <c r="D168" s="115"/>
      <c r="E168" s="115"/>
    </row>
    <row r="169" spans="1:5" x14ac:dyDescent="0.2">
      <c r="A169" s="145"/>
      <c r="B169" s="145"/>
      <c r="C169" s="115"/>
      <c r="D169" s="115"/>
      <c r="E169" s="115"/>
    </row>
    <row r="170" spans="1:5" x14ac:dyDescent="0.2">
      <c r="A170" s="145"/>
      <c r="B170" s="145"/>
      <c r="C170" s="115"/>
      <c r="D170" s="115"/>
      <c r="E170" s="115"/>
    </row>
    <row r="171" spans="1:5" x14ac:dyDescent="0.2">
      <c r="A171" s="145"/>
    </row>
    <row r="172" spans="1:5" x14ac:dyDescent="0.2">
      <c r="A172" s="145"/>
    </row>
  </sheetData>
  <autoFilter ref="A2:T146" xr:uid="{00000000-0009-0000-0000-000003000000}"/>
  <phoneticPr fontId="3" type="noConversion"/>
  <pageMargins left="0.75" right="0.75" top="1" bottom="1" header="0.5" footer="0.5"/>
  <pageSetup paperSize="9" orientation="portrait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Лист4"/>
  <dimension ref="A1:D18"/>
  <sheetViews>
    <sheetView workbookViewId="0">
      <selection activeCell="C8" sqref="C8"/>
    </sheetView>
  </sheetViews>
  <sheetFormatPr defaultRowHeight="12.75" x14ac:dyDescent="0.2"/>
  <cols>
    <col min="1" max="1" width="9.140625" style="1" customWidth="1"/>
    <col min="2" max="2" width="31.5703125" bestFit="1" customWidth="1"/>
    <col min="3" max="3" width="10.85546875" bestFit="1" customWidth="1"/>
    <col min="4" max="4" width="9.28515625" bestFit="1" customWidth="1"/>
  </cols>
  <sheetData>
    <row r="1" spans="1:4" x14ac:dyDescent="0.2">
      <c r="B1" s="21" t="s">
        <v>38</v>
      </c>
      <c r="D1" t="s">
        <v>7</v>
      </c>
    </row>
    <row r="2" spans="1:4" x14ac:dyDescent="0.2">
      <c r="A2" s="136">
        <v>1</v>
      </c>
      <c r="B2" s="137" t="s">
        <v>8</v>
      </c>
      <c r="C2" s="135">
        <v>0</v>
      </c>
      <c r="D2" s="115"/>
    </row>
    <row r="3" spans="1:4" x14ac:dyDescent="0.2">
      <c r="A3" s="136">
        <v>2</v>
      </c>
      <c r="B3" s="115" t="s">
        <v>153</v>
      </c>
      <c r="C3" s="171">
        <v>1100</v>
      </c>
      <c r="D3" s="138">
        <v>1</v>
      </c>
    </row>
    <row r="4" spans="1:4" s="113" customFormat="1" x14ac:dyDescent="0.2">
      <c r="A4" s="136">
        <v>3</v>
      </c>
      <c r="B4" s="145" t="s">
        <v>441</v>
      </c>
      <c r="C4" s="171">
        <v>1100</v>
      </c>
      <c r="D4" s="138">
        <v>1</v>
      </c>
    </row>
    <row r="5" spans="1:4" s="113" customFormat="1" x14ac:dyDescent="0.2">
      <c r="A5" s="136">
        <v>4</v>
      </c>
      <c r="B5" s="145" t="s">
        <v>442</v>
      </c>
      <c r="C5" s="171">
        <v>1100</v>
      </c>
      <c r="D5" s="138">
        <v>1</v>
      </c>
    </row>
    <row r="6" spans="1:4" x14ac:dyDescent="0.2">
      <c r="A6" s="136">
        <v>5</v>
      </c>
      <c r="B6" s="145" t="s">
        <v>443</v>
      </c>
      <c r="C6" s="171">
        <v>1100</v>
      </c>
      <c r="D6" s="138">
        <v>1</v>
      </c>
    </row>
    <row r="7" spans="1:4" x14ac:dyDescent="0.2">
      <c r="A7" s="136">
        <v>6</v>
      </c>
      <c r="B7" s="145" t="s">
        <v>444</v>
      </c>
      <c r="C7" s="171">
        <v>1000</v>
      </c>
      <c r="D7" s="138">
        <v>2</v>
      </c>
    </row>
    <row r="8" spans="1:4" x14ac:dyDescent="0.2">
      <c r="A8" s="136">
        <v>7</v>
      </c>
      <c r="B8" s="115"/>
      <c r="C8" s="135"/>
      <c r="D8" s="138"/>
    </row>
    <row r="9" spans="1:4" x14ac:dyDescent="0.2">
      <c r="A9" s="136">
        <v>8</v>
      </c>
    </row>
    <row r="10" spans="1:4" s="113" customFormat="1" x14ac:dyDescent="0.2">
      <c r="A10" s="136">
        <v>9</v>
      </c>
      <c r="B10"/>
      <c r="C10"/>
      <c r="D10"/>
    </row>
    <row r="11" spans="1:4" s="113" customFormat="1" x14ac:dyDescent="0.2">
      <c r="A11" s="136">
        <v>10</v>
      </c>
      <c r="B11"/>
      <c r="C11"/>
      <c r="D11"/>
    </row>
    <row r="12" spans="1:4" x14ac:dyDescent="0.2">
      <c r="A12" s="136">
        <v>11</v>
      </c>
    </row>
    <row r="13" spans="1:4" x14ac:dyDescent="0.2">
      <c r="A13" s="136">
        <v>12</v>
      </c>
    </row>
    <row r="14" spans="1:4" s="113" customFormat="1" x14ac:dyDescent="0.2">
      <c r="A14" s="136">
        <v>13</v>
      </c>
      <c r="B14"/>
      <c r="C14"/>
      <c r="D14"/>
    </row>
    <row r="15" spans="1:4" x14ac:dyDescent="0.2">
      <c r="A15" s="136">
        <v>14</v>
      </c>
    </row>
    <row r="16" spans="1:4" x14ac:dyDescent="0.2">
      <c r="A16" s="136">
        <v>15</v>
      </c>
    </row>
    <row r="17" spans="1:1" x14ac:dyDescent="0.2">
      <c r="A17" s="136">
        <v>16</v>
      </c>
    </row>
    <row r="18" spans="1:1" x14ac:dyDescent="0.2">
      <c r="A18" s="136"/>
    </row>
  </sheetData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Лист5"/>
  <dimension ref="B1:F15"/>
  <sheetViews>
    <sheetView workbookViewId="0">
      <selection activeCell="F42" sqref="F42"/>
    </sheetView>
  </sheetViews>
  <sheetFormatPr defaultRowHeight="12.75" x14ac:dyDescent="0.2"/>
  <sheetData>
    <row r="1" spans="2:6" x14ac:dyDescent="0.2">
      <c r="B1" s="21" t="s">
        <v>96</v>
      </c>
      <c r="C1" s="21"/>
      <c r="E1" s="21" t="s">
        <v>206</v>
      </c>
      <c r="F1" s="21"/>
    </row>
    <row r="2" spans="2:6" x14ac:dyDescent="0.2">
      <c r="B2">
        <v>110</v>
      </c>
      <c r="C2">
        <v>0</v>
      </c>
      <c r="F2">
        <v>0</v>
      </c>
    </row>
    <row r="3" spans="2:6" x14ac:dyDescent="0.2">
      <c r="B3" s="149">
        <v>538</v>
      </c>
      <c r="C3" s="149">
        <v>0</v>
      </c>
      <c r="E3" t="s">
        <v>193</v>
      </c>
      <c r="F3">
        <v>538</v>
      </c>
    </row>
    <row r="4" spans="2:6" x14ac:dyDescent="0.2">
      <c r="B4" s="149">
        <v>560</v>
      </c>
      <c r="C4" s="149">
        <v>0</v>
      </c>
      <c r="E4" t="s">
        <v>108</v>
      </c>
      <c r="F4">
        <v>538</v>
      </c>
    </row>
    <row r="5" spans="2:6" x14ac:dyDescent="0.2">
      <c r="B5" s="149">
        <v>690</v>
      </c>
      <c r="C5" s="149">
        <v>0</v>
      </c>
      <c r="E5" t="s">
        <v>194</v>
      </c>
      <c r="F5">
        <v>690</v>
      </c>
    </row>
    <row r="6" spans="2:6" x14ac:dyDescent="0.2">
      <c r="B6">
        <v>713</v>
      </c>
      <c r="C6">
        <v>0</v>
      </c>
      <c r="E6" t="s">
        <v>195</v>
      </c>
      <c r="F6">
        <v>538</v>
      </c>
    </row>
    <row r="7" spans="2:6" x14ac:dyDescent="0.2">
      <c r="B7">
        <v>714</v>
      </c>
      <c r="C7">
        <v>0</v>
      </c>
      <c r="E7" t="s">
        <v>196</v>
      </c>
      <c r="F7">
        <v>538</v>
      </c>
    </row>
    <row r="8" spans="2:6" x14ac:dyDescent="0.2">
      <c r="B8">
        <v>715</v>
      </c>
      <c r="C8">
        <v>0</v>
      </c>
      <c r="E8" t="s">
        <v>197</v>
      </c>
      <c r="F8">
        <v>560</v>
      </c>
    </row>
    <row r="9" spans="2:6" x14ac:dyDescent="0.2">
      <c r="B9">
        <v>716</v>
      </c>
      <c r="C9">
        <v>0</v>
      </c>
    </row>
    <row r="10" spans="2:6" x14ac:dyDescent="0.2">
      <c r="B10">
        <v>717</v>
      </c>
      <c r="C10">
        <v>0</v>
      </c>
    </row>
    <row r="11" spans="2:6" x14ac:dyDescent="0.2">
      <c r="B11">
        <v>900</v>
      </c>
      <c r="C11">
        <v>0</v>
      </c>
    </row>
    <row r="12" spans="2:6" x14ac:dyDescent="0.2">
      <c r="B12">
        <v>957</v>
      </c>
      <c r="C12">
        <v>0</v>
      </c>
    </row>
    <row r="13" spans="2:6" x14ac:dyDescent="0.2">
      <c r="B13">
        <v>958</v>
      </c>
      <c r="C13">
        <v>0</v>
      </c>
    </row>
    <row r="14" spans="2:6" x14ac:dyDescent="0.2">
      <c r="B14">
        <v>959</v>
      </c>
      <c r="C14">
        <v>0</v>
      </c>
    </row>
    <row r="15" spans="2:6" x14ac:dyDescent="0.2">
      <c r="B15">
        <v>960</v>
      </c>
      <c r="C15">
        <v>0</v>
      </c>
    </row>
  </sheetData>
  <phoneticPr fontId="3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1</vt:i4>
      </vt:variant>
    </vt:vector>
  </HeadingPairs>
  <TitlesOfParts>
    <vt:vector size="7" baseType="lpstr">
      <vt:lpstr>Бланк зам Фарба</vt:lpstr>
      <vt:lpstr>Правила роботи</vt:lpstr>
      <vt:lpstr>Краски</vt:lpstr>
      <vt:lpstr>Фрезеровки</vt:lpstr>
      <vt:lpstr>Патина</vt:lpstr>
      <vt:lpstr>Гнутые</vt:lpstr>
      <vt:lpstr>'Бланк зам Фарба'!Область_печати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Vivo</dc:creator>
  <dc:description>26.11.15 - Переименованы карнизы, свет.планки,фризы - добавлена высота           23.12.15 - Рисунки Санторини, Кантри, Фортуна, Дует разбиты на левый/правый. Добавлены рисунки Бремен (без декора) 28.12.15 - Устранена ошибка цены в декор.планках Париж, Флора, Колонна РоялХайуз</dc:description>
  <cp:lastModifiedBy>Кузьмина Людмила</cp:lastModifiedBy>
  <cp:lastPrinted>2023-12-14T09:57:40Z</cp:lastPrinted>
  <dcterms:created xsi:type="dcterms:W3CDTF">2015-08-25T10:53:44Z</dcterms:created>
  <dcterms:modified xsi:type="dcterms:W3CDTF">2025-10-10T10:50:20Z</dcterms:modified>
</cp:coreProperties>
</file>