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_039\Desktop\Печать\ПРАЙСЫ рабочие версии\20251013\"/>
    </mc:Choice>
  </mc:AlternateContent>
  <xr:revisionPtr revIDLastSave="0" documentId="13_ncr:1_{E1AC92A7-D248-4556-95F7-9F73543F58D6}" xr6:coauthVersionLast="36" xr6:coauthVersionMax="47" xr10:uidLastSave="{00000000-0000-0000-0000-000000000000}"/>
  <workbookProtection workbookPassword="CC71" lockStructure="1"/>
  <bookViews>
    <workbookView xWindow="0" yWindow="0" windowWidth="28800" windowHeight="12225" xr2:uid="{00000000-000D-0000-FFFF-FFFF00000000}"/>
  </bookViews>
  <sheets>
    <sheet name="Бланк зам Плівка" sheetId="1" r:id="rId1"/>
    <sheet name="Правило роботи" sheetId="2" r:id="rId2"/>
    <sheet name="Пленки" sheetId="3" state="hidden" r:id="rId3"/>
    <sheet name="Фрезеровки" sheetId="4" state="hidden" r:id="rId4"/>
    <sheet name="Патина" sheetId="5" state="hidden" r:id="rId5"/>
    <sheet name="Гнутые" sheetId="6" state="hidden" r:id="rId6"/>
  </sheets>
  <definedNames>
    <definedName name="_xlnm._FilterDatabase" localSheetId="0" hidden="1">'Бланк зам Плівка'!$L$198:$L$266</definedName>
    <definedName name="_xlnm._FilterDatabase" localSheetId="4" hidden="1">Патина!$C$2:$D$28</definedName>
    <definedName name="_xlnm._FilterDatabase" localSheetId="2" hidden="1">Пленки!$A$18:$AE$198</definedName>
    <definedName name="_xlnm._FilterDatabase" localSheetId="3" hidden="1">Фрезеровки!$A$2:$X$176</definedName>
    <definedName name="Z_700CC08B_C9E0_4A9E_9D69_3098FEE5461F_.wvu.Cols" localSheetId="0" hidden="1">'Бланк зам Плівка'!$Y:$AM</definedName>
    <definedName name="Z_700CC08B_C9E0_4A9E_9D69_3098FEE5461F_.wvu.FilterData" localSheetId="0" hidden="1">'Бланк зам Плівка'!$L$198:$L$266</definedName>
    <definedName name="Z_700CC08B_C9E0_4A9E_9D69_3098FEE5461F_.wvu.FilterData" localSheetId="4" hidden="1">Патина!$C$2:$D$28</definedName>
    <definedName name="Z_700CC08B_C9E0_4A9E_9D69_3098FEE5461F_.wvu.FilterData" localSheetId="2" hidden="1">Пленки!$A$18:$AE$198</definedName>
    <definedName name="Z_700CC08B_C9E0_4A9E_9D69_3098FEE5461F_.wvu.FilterData" localSheetId="3" hidden="1">Фрезеровки!$A$2:$X$176</definedName>
    <definedName name="Z_700CC08B_C9E0_4A9E_9D69_3098FEE5461F_.wvu.PrintArea" localSheetId="0" hidden="1">'Бланк зам Плівка'!$A$187:$J$279</definedName>
    <definedName name="Z_700CC08B_C9E0_4A9E_9D69_3098FEE5461F_.wvu.Rows" localSheetId="0" hidden="1">'Бланк зам Плівка'!$1:$186</definedName>
    <definedName name="_xlnm.Print_Area" localSheetId="0">'Бланк зам Плівка'!$A$187:$J$279</definedName>
  </definedNames>
  <calcPr calcId="191029"/>
  <customWorkbookViews>
    <customWorkbookView name="Кузьмина Людмила - Личное представление" guid="{700CC08B-C9E0-4A9E-9D69-3098FEE5461F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D39" i="4" l="1"/>
  <c r="L23" i="3"/>
  <c r="H22" i="3"/>
  <c r="J3" i="3" l="1"/>
  <c r="D74" i="3" l="1"/>
  <c r="B270" i="1" l="1"/>
  <c r="Q5" i="3"/>
  <c r="D24" i="3"/>
  <c r="D27" i="3"/>
  <c r="M3" i="3" l="1"/>
  <c r="I3" i="3"/>
  <c r="A19" i="3" l="1"/>
  <c r="AD14" i="3" l="1"/>
  <c r="N181" i="3"/>
  <c r="H181" i="3"/>
  <c r="G181" i="3"/>
  <c r="F181" i="3"/>
  <c r="E181" i="3"/>
  <c r="D181" i="3"/>
  <c r="N180" i="3"/>
  <c r="H180" i="3"/>
  <c r="G180" i="3"/>
  <c r="F180" i="3"/>
  <c r="E180" i="3"/>
  <c r="D180" i="3"/>
  <c r="N179" i="3"/>
  <c r="H179" i="3"/>
  <c r="G179" i="3"/>
  <c r="F179" i="3"/>
  <c r="E179" i="3"/>
  <c r="D179" i="3"/>
  <c r="N178" i="3"/>
  <c r="H178" i="3"/>
  <c r="G178" i="3"/>
  <c r="F178" i="3"/>
  <c r="E178" i="3"/>
  <c r="D178" i="3"/>
  <c r="N177" i="3"/>
  <c r="H177" i="3"/>
  <c r="G177" i="3"/>
  <c r="F177" i="3"/>
  <c r="E177" i="3"/>
  <c r="D177" i="3"/>
  <c r="N176" i="3"/>
  <c r="H176" i="3"/>
  <c r="G176" i="3"/>
  <c r="F176" i="3"/>
  <c r="E176" i="3"/>
  <c r="D176" i="3"/>
  <c r="N175" i="3"/>
  <c r="H175" i="3"/>
  <c r="G175" i="3"/>
  <c r="F175" i="3"/>
  <c r="E175" i="3"/>
  <c r="D175" i="3"/>
  <c r="N174" i="3"/>
  <c r="H174" i="3"/>
  <c r="G174" i="3"/>
  <c r="F174" i="3"/>
  <c r="E174" i="3"/>
  <c r="D174" i="3"/>
  <c r="N173" i="3"/>
  <c r="H173" i="3"/>
  <c r="G173" i="3"/>
  <c r="F173" i="3"/>
  <c r="E173" i="3"/>
  <c r="D173" i="3"/>
  <c r="N172" i="3"/>
  <c r="H172" i="3"/>
  <c r="G172" i="3"/>
  <c r="F172" i="3"/>
  <c r="E172" i="3"/>
  <c r="D172" i="3"/>
  <c r="N171" i="3"/>
  <c r="H171" i="3"/>
  <c r="G171" i="3"/>
  <c r="F171" i="3"/>
  <c r="E171" i="3"/>
  <c r="D171" i="3"/>
  <c r="N170" i="3"/>
  <c r="H170" i="3"/>
  <c r="G170" i="3"/>
  <c r="F170" i="3"/>
  <c r="E170" i="3"/>
  <c r="D170" i="3"/>
  <c r="N169" i="3"/>
  <c r="H169" i="3"/>
  <c r="G169" i="3"/>
  <c r="F169" i="3"/>
  <c r="E169" i="3"/>
  <c r="D169" i="3"/>
  <c r="N168" i="3"/>
  <c r="H168" i="3"/>
  <c r="G168" i="3"/>
  <c r="F168" i="3"/>
  <c r="E168" i="3"/>
  <c r="D168" i="3"/>
  <c r="N167" i="3"/>
  <c r="H167" i="3"/>
  <c r="G167" i="3"/>
  <c r="F167" i="3"/>
  <c r="E167" i="3"/>
  <c r="D167" i="3"/>
  <c r="N166" i="3"/>
  <c r="H166" i="3"/>
  <c r="G166" i="3"/>
  <c r="F166" i="3"/>
  <c r="E166" i="3"/>
  <c r="D166" i="3"/>
  <c r="N165" i="3"/>
  <c r="H165" i="3"/>
  <c r="G165" i="3"/>
  <c r="F165" i="3"/>
  <c r="E165" i="3"/>
  <c r="D165" i="3"/>
  <c r="J175" i="1" l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N5" i="4"/>
  <c r="N6" i="4" s="1"/>
  <c r="N7" i="4" s="1"/>
  <c r="N8" i="4" s="1"/>
  <c r="N9" i="4" s="1"/>
  <c r="N10" i="4" s="1"/>
  <c r="N11" i="4" s="1"/>
  <c r="N12" i="4" s="1"/>
  <c r="N13" i="4" s="1"/>
  <c r="N14" i="4" s="1"/>
  <c r="N15" i="4" s="1"/>
  <c r="N16" i="4" s="1"/>
  <c r="N17" i="4" s="1"/>
  <c r="N18" i="4" s="1"/>
  <c r="N19" i="4" s="1"/>
  <c r="N20" i="4" s="1"/>
  <c r="N21" i="4" s="1"/>
  <c r="N22" i="4" s="1"/>
  <c r="N23" i="4" s="1"/>
  <c r="N24" i="4" s="1"/>
  <c r="N25" i="4" s="1"/>
  <c r="N26" i="4" s="1"/>
  <c r="N27" i="4" s="1"/>
  <c r="N28" i="4" s="1"/>
  <c r="N29" i="4" s="1"/>
  <c r="N30" i="4" s="1"/>
  <c r="N31" i="4" s="1"/>
  <c r="N32" i="4" s="1"/>
  <c r="N33" i="4" s="1"/>
  <c r="N34" i="4" s="1"/>
  <c r="N35" i="4" s="1"/>
  <c r="N36" i="4" s="1"/>
  <c r="N37" i="4" s="1"/>
  <c r="N38" i="4" s="1"/>
  <c r="N39" i="4" s="1"/>
  <c r="N40" i="4" s="1"/>
  <c r="N41" i="4" s="1"/>
  <c r="N42" i="4" s="1"/>
  <c r="N43" i="4" s="1"/>
  <c r="N44" i="4" s="1"/>
  <c r="N45" i="4" s="1"/>
  <c r="N46" i="4" s="1"/>
  <c r="N47" i="4" s="1"/>
  <c r="N48" i="4" s="1"/>
  <c r="N49" i="4" s="1"/>
  <c r="O49" i="4"/>
  <c r="O48" i="4"/>
  <c r="O46" i="4"/>
  <c r="O44" i="4"/>
  <c r="O43" i="4"/>
  <c r="O42" i="4"/>
  <c r="O41" i="4"/>
  <c r="O40" i="4"/>
  <c r="O39" i="4"/>
  <c r="O38" i="4"/>
  <c r="O37" i="4"/>
  <c r="O36" i="4"/>
  <c r="O35" i="4"/>
  <c r="O21" i="4"/>
  <c r="O20" i="4"/>
  <c r="O19" i="4"/>
  <c r="O15" i="4"/>
  <c r="W34" i="4"/>
  <c r="V33" i="4"/>
  <c r="W30" i="4"/>
  <c r="W26" i="4"/>
  <c r="W22" i="4"/>
  <c r="W16" i="4"/>
  <c r="V15" i="4"/>
  <c r="W6" i="4"/>
  <c r="V5" i="4"/>
  <c r="V45" i="4"/>
  <c r="W42" i="4"/>
  <c r="W38" i="4"/>
  <c r="W49" i="4"/>
  <c r="W14" i="4"/>
  <c r="V21" i="4"/>
  <c r="U14" i="4"/>
  <c r="U8" i="4"/>
  <c r="O14" i="3"/>
  <c r="N103" i="3"/>
  <c r="H103" i="3"/>
  <c r="G103" i="3"/>
  <c r="F103" i="3"/>
  <c r="E103" i="3"/>
  <c r="D103" i="3"/>
  <c r="AD13" i="3"/>
  <c r="Y14" i="3"/>
  <c r="Y43" i="3" s="1"/>
  <c r="G14" i="3"/>
  <c r="G18" i="3" s="1"/>
  <c r="F14" i="3"/>
  <c r="Q14" i="3" s="1"/>
  <c r="Q43" i="3" s="1"/>
  <c r="S14" i="3"/>
  <c r="S43" i="3" s="1"/>
  <c r="AC43" i="3"/>
  <c r="AB43" i="3"/>
  <c r="AA43" i="3"/>
  <c r="AC41" i="3"/>
  <c r="AB41" i="3"/>
  <c r="AA41" i="3"/>
  <c r="AC40" i="3"/>
  <c r="AB40" i="3"/>
  <c r="AA40" i="3"/>
  <c r="AC39" i="3"/>
  <c r="AB39" i="3"/>
  <c r="AA39" i="3"/>
  <c r="AC38" i="3"/>
  <c r="AB38" i="3"/>
  <c r="AA38" i="3"/>
  <c r="AC37" i="3"/>
  <c r="AB37" i="3"/>
  <c r="AA37" i="3"/>
  <c r="AC36" i="3"/>
  <c r="AB36" i="3"/>
  <c r="AA36" i="3"/>
  <c r="AC35" i="3"/>
  <c r="AB35" i="3"/>
  <c r="AA35" i="3"/>
  <c r="AC34" i="3"/>
  <c r="AB34" i="3"/>
  <c r="AA34" i="3"/>
  <c r="AC33" i="3"/>
  <c r="AB33" i="3"/>
  <c r="AA33" i="3"/>
  <c r="AC32" i="3"/>
  <c r="AB32" i="3"/>
  <c r="AA32" i="3"/>
  <c r="E18" i="3"/>
  <c r="N164" i="3"/>
  <c r="H164" i="3"/>
  <c r="G164" i="3"/>
  <c r="F164" i="3"/>
  <c r="E164" i="3"/>
  <c r="D164" i="3"/>
  <c r="N163" i="3"/>
  <c r="H163" i="3"/>
  <c r="G163" i="3"/>
  <c r="F163" i="3"/>
  <c r="E163" i="3"/>
  <c r="D163" i="3"/>
  <c r="N162" i="3"/>
  <c r="H162" i="3"/>
  <c r="G162" i="3"/>
  <c r="F162" i="3"/>
  <c r="E162" i="3"/>
  <c r="D162" i="3"/>
  <c r="N161" i="3"/>
  <c r="H161" i="3"/>
  <c r="G161" i="3"/>
  <c r="F161" i="3"/>
  <c r="E161" i="3"/>
  <c r="D161" i="3"/>
  <c r="N160" i="3"/>
  <c r="H160" i="3"/>
  <c r="G160" i="3"/>
  <c r="F160" i="3"/>
  <c r="E160" i="3"/>
  <c r="D160" i="3"/>
  <c r="T49" i="4"/>
  <c r="V49" i="4"/>
  <c r="U49" i="4"/>
  <c r="W48" i="4"/>
  <c r="T48" i="4"/>
  <c r="V48" i="4"/>
  <c r="U48" i="4"/>
  <c r="T47" i="4"/>
  <c r="W47" i="4"/>
  <c r="V47" i="4"/>
  <c r="U47" i="4"/>
  <c r="V46" i="4"/>
  <c r="T46" i="4"/>
  <c r="W46" i="4"/>
  <c r="U46" i="4"/>
  <c r="T45" i="4"/>
  <c r="W45" i="4"/>
  <c r="U45" i="4"/>
  <c r="T44" i="4"/>
  <c r="W44" i="4"/>
  <c r="V44" i="4"/>
  <c r="U44" i="4"/>
  <c r="T43" i="4"/>
  <c r="W43" i="4"/>
  <c r="V43" i="4"/>
  <c r="U43" i="4"/>
  <c r="T42" i="4"/>
  <c r="V42" i="4"/>
  <c r="U42" i="4"/>
  <c r="T41" i="4"/>
  <c r="W41" i="4"/>
  <c r="V41" i="4"/>
  <c r="U41" i="4"/>
  <c r="T40" i="4"/>
  <c r="W40" i="4"/>
  <c r="V40" i="4"/>
  <c r="U40" i="4"/>
  <c r="T39" i="4"/>
  <c r="W39" i="4"/>
  <c r="V39" i="4"/>
  <c r="U39" i="4"/>
  <c r="T38" i="4"/>
  <c r="V38" i="4"/>
  <c r="U38" i="4"/>
  <c r="T37" i="4"/>
  <c r="W37" i="4"/>
  <c r="V37" i="4"/>
  <c r="U37" i="4"/>
  <c r="T36" i="4"/>
  <c r="W36" i="4"/>
  <c r="V36" i="4"/>
  <c r="U36" i="4"/>
  <c r="T35" i="4"/>
  <c r="W35" i="4"/>
  <c r="V35" i="4"/>
  <c r="U35" i="4"/>
  <c r="V34" i="4"/>
  <c r="U34" i="4"/>
  <c r="W33" i="4"/>
  <c r="U33" i="4"/>
  <c r="W32" i="4"/>
  <c r="V32" i="4"/>
  <c r="U32" i="4"/>
  <c r="W31" i="4"/>
  <c r="V31" i="4"/>
  <c r="U31" i="4"/>
  <c r="V30" i="4"/>
  <c r="U30" i="4"/>
  <c r="W29" i="4"/>
  <c r="V29" i="4"/>
  <c r="U29" i="4"/>
  <c r="W28" i="4"/>
  <c r="V28" i="4"/>
  <c r="U28" i="4"/>
  <c r="W27" i="4"/>
  <c r="V27" i="4"/>
  <c r="U27" i="4"/>
  <c r="V26" i="4"/>
  <c r="U26" i="4"/>
  <c r="W25" i="4"/>
  <c r="V25" i="4"/>
  <c r="U25" i="4"/>
  <c r="W24" i="4"/>
  <c r="V24" i="4"/>
  <c r="U24" i="4"/>
  <c r="W23" i="4"/>
  <c r="V23" i="4"/>
  <c r="U23" i="4"/>
  <c r="V22" i="4"/>
  <c r="U22" i="4"/>
  <c r="W21" i="4"/>
  <c r="T21" i="4"/>
  <c r="U21" i="4"/>
  <c r="W20" i="4"/>
  <c r="T20" i="4"/>
  <c r="V20" i="4"/>
  <c r="U20" i="4"/>
  <c r="W19" i="4"/>
  <c r="V19" i="4"/>
  <c r="U19" i="4"/>
  <c r="W18" i="4"/>
  <c r="V18" i="4"/>
  <c r="U18" i="4"/>
  <c r="W17" i="4"/>
  <c r="V17" i="4"/>
  <c r="U17" i="4"/>
  <c r="V16" i="4"/>
  <c r="U16" i="4"/>
  <c r="W15" i="4"/>
  <c r="U15" i="4"/>
  <c r="T14" i="4"/>
  <c r="V14" i="4"/>
  <c r="W13" i="4"/>
  <c r="T13" i="4"/>
  <c r="V13" i="4"/>
  <c r="U13" i="4"/>
  <c r="W12" i="4"/>
  <c r="V12" i="4"/>
  <c r="U12" i="4"/>
  <c r="W11" i="4"/>
  <c r="T11" i="4"/>
  <c r="V11" i="4"/>
  <c r="U11" i="4"/>
  <c r="W10" i="4"/>
  <c r="T10" i="4"/>
  <c r="V10" i="4"/>
  <c r="U10" i="4"/>
  <c r="W9" i="4"/>
  <c r="T9" i="4"/>
  <c r="V9" i="4"/>
  <c r="U9" i="4"/>
  <c r="W8" i="4"/>
  <c r="T8" i="4"/>
  <c r="V8" i="4"/>
  <c r="W7" i="4"/>
  <c r="T7" i="4"/>
  <c r="V7" i="4"/>
  <c r="U7" i="4"/>
  <c r="V6" i="4"/>
  <c r="U6" i="4"/>
  <c r="A20" i="3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Q3" i="3"/>
  <c r="Q32" i="3" s="1"/>
  <c r="Q4" i="3"/>
  <c r="Q33" i="3" s="1"/>
  <c r="Q34" i="3"/>
  <c r="Q6" i="3"/>
  <c r="Q35" i="3" s="1"/>
  <c r="Q7" i="3"/>
  <c r="Q36" i="3" s="1"/>
  <c r="Q8" i="3"/>
  <c r="Q37" i="3" s="1"/>
  <c r="Q9" i="3"/>
  <c r="Q38" i="3" s="1"/>
  <c r="Q10" i="3"/>
  <c r="Q39" i="3" s="1"/>
  <c r="Q11" i="3"/>
  <c r="Q40" i="3" s="1"/>
  <c r="Q12" i="3"/>
  <c r="Q41" i="3" s="1"/>
  <c r="N159" i="3"/>
  <c r="H159" i="3"/>
  <c r="G159" i="3"/>
  <c r="F159" i="3"/>
  <c r="E159" i="3"/>
  <c r="D159" i="3"/>
  <c r="N158" i="3"/>
  <c r="H158" i="3"/>
  <c r="G158" i="3"/>
  <c r="F158" i="3"/>
  <c r="E158" i="3"/>
  <c r="D158" i="3"/>
  <c r="N157" i="3"/>
  <c r="H157" i="3"/>
  <c r="G157" i="3"/>
  <c r="F157" i="3"/>
  <c r="E157" i="3"/>
  <c r="D157" i="3"/>
  <c r="N156" i="3"/>
  <c r="H156" i="3"/>
  <c r="G156" i="3"/>
  <c r="F156" i="3"/>
  <c r="E156" i="3"/>
  <c r="D156" i="3"/>
  <c r="N155" i="3"/>
  <c r="H155" i="3"/>
  <c r="G155" i="3"/>
  <c r="F155" i="3"/>
  <c r="E155" i="3"/>
  <c r="D155" i="3"/>
  <c r="N154" i="3"/>
  <c r="H154" i="3"/>
  <c r="G154" i="3"/>
  <c r="F154" i="3"/>
  <c r="E154" i="3"/>
  <c r="D154" i="3"/>
  <c r="Z14" i="3"/>
  <c r="X14" i="3"/>
  <c r="V14" i="3"/>
  <c r="T14" i="3"/>
  <c r="R14" i="3"/>
  <c r="P14" i="3"/>
  <c r="Z13" i="3"/>
  <c r="Y13" i="3"/>
  <c r="X13" i="3"/>
  <c r="W13" i="3"/>
  <c r="V13" i="3"/>
  <c r="U13" i="3"/>
  <c r="T13" i="3"/>
  <c r="S13" i="3"/>
  <c r="R13" i="3"/>
  <c r="Q13" i="3"/>
  <c r="P13" i="3"/>
  <c r="Y12" i="3"/>
  <c r="Y41" i="3" s="1"/>
  <c r="W12" i="3"/>
  <c r="W41" i="3" s="1"/>
  <c r="U12" i="3"/>
  <c r="U41" i="3" s="1"/>
  <c r="S12" i="3"/>
  <c r="S41" i="3" s="1"/>
  <c r="P12" i="3"/>
  <c r="Y11" i="3"/>
  <c r="Y40" i="3" s="1"/>
  <c r="W11" i="3"/>
  <c r="W40" i="3" s="1"/>
  <c r="U11" i="3"/>
  <c r="U40" i="3" s="1"/>
  <c r="S11" i="3"/>
  <c r="S40" i="3" s="1"/>
  <c r="P11" i="3"/>
  <c r="Y10" i="3"/>
  <c r="Y39" i="3" s="1"/>
  <c r="W10" i="3"/>
  <c r="W39" i="3" s="1"/>
  <c r="U10" i="3"/>
  <c r="U39" i="3" s="1"/>
  <c r="S10" i="3"/>
  <c r="S39" i="3" s="1"/>
  <c r="P10" i="3"/>
  <c r="Y9" i="3"/>
  <c r="Y38" i="3" s="1"/>
  <c r="W9" i="3"/>
  <c r="W38" i="3" s="1"/>
  <c r="U9" i="3"/>
  <c r="U38" i="3" s="1"/>
  <c r="S9" i="3"/>
  <c r="S38" i="3" s="1"/>
  <c r="P9" i="3"/>
  <c r="Y8" i="3"/>
  <c r="Y37" i="3" s="1"/>
  <c r="W8" i="3"/>
  <c r="W37" i="3" s="1"/>
  <c r="U8" i="3"/>
  <c r="U37" i="3" s="1"/>
  <c r="S8" i="3"/>
  <c r="S37" i="3" s="1"/>
  <c r="P8" i="3"/>
  <c r="Y7" i="3"/>
  <c r="Y36" i="3" s="1"/>
  <c r="W7" i="3"/>
  <c r="W36" i="3" s="1"/>
  <c r="U7" i="3"/>
  <c r="U36" i="3" s="1"/>
  <c r="S7" i="3"/>
  <c r="S36" i="3" s="1"/>
  <c r="P7" i="3"/>
  <c r="Y6" i="3"/>
  <c r="Y35" i="3" s="1"/>
  <c r="W6" i="3"/>
  <c r="W35" i="3" s="1"/>
  <c r="U6" i="3"/>
  <c r="U35" i="3" s="1"/>
  <c r="S6" i="3"/>
  <c r="S35" i="3" s="1"/>
  <c r="P6" i="3"/>
  <c r="Y5" i="3"/>
  <c r="Y34" i="3" s="1"/>
  <c r="W5" i="3"/>
  <c r="W34" i="3" s="1"/>
  <c r="U5" i="3"/>
  <c r="U34" i="3" s="1"/>
  <c r="S5" i="3"/>
  <c r="S34" i="3" s="1"/>
  <c r="P5" i="3"/>
  <c r="Y4" i="3"/>
  <c r="Y33" i="3" s="1"/>
  <c r="W4" i="3"/>
  <c r="W33" i="3" s="1"/>
  <c r="U4" i="3"/>
  <c r="U33" i="3" s="1"/>
  <c r="S4" i="3"/>
  <c r="S33" i="3" s="1"/>
  <c r="P4" i="3"/>
  <c r="Y3" i="3"/>
  <c r="Y32" i="3" s="1"/>
  <c r="W3" i="3"/>
  <c r="W32" i="3" s="1"/>
  <c r="U3" i="3"/>
  <c r="U32" i="3" s="1"/>
  <c r="S3" i="3"/>
  <c r="S32" i="3" s="1"/>
  <c r="P3" i="3"/>
  <c r="P2" i="3"/>
  <c r="Z2" i="3"/>
  <c r="Y2" i="3"/>
  <c r="X2" i="3"/>
  <c r="W2" i="3"/>
  <c r="V2" i="3"/>
  <c r="U2" i="3"/>
  <c r="T2" i="3"/>
  <c r="S2" i="3"/>
  <c r="R2" i="3"/>
  <c r="Q2" i="3"/>
  <c r="Z12" i="3"/>
  <c r="Z41" i="3" s="1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2" i="5"/>
  <c r="G3" i="5"/>
  <c r="N12" i="5"/>
  <c r="N11" i="5"/>
  <c r="N10" i="5"/>
  <c r="N9" i="5"/>
  <c r="N8" i="5"/>
  <c r="N7" i="5"/>
  <c r="N6" i="5"/>
  <c r="N5" i="5"/>
  <c r="N153" i="3"/>
  <c r="H153" i="3"/>
  <c r="G153" i="3"/>
  <c r="F153" i="3"/>
  <c r="E153" i="3"/>
  <c r="D153" i="3"/>
  <c r="N152" i="3"/>
  <c r="H152" i="3"/>
  <c r="G152" i="3"/>
  <c r="F152" i="3"/>
  <c r="E152" i="3"/>
  <c r="D152" i="3"/>
  <c r="N151" i="3"/>
  <c r="H151" i="3"/>
  <c r="G151" i="3"/>
  <c r="F151" i="3"/>
  <c r="E151" i="3"/>
  <c r="D151" i="3"/>
  <c r="N150" i="3"/>
  <c r="H150" i="3"/>
  <c r="G150" i="3"/>
  <c r="F150" i="3"/>
  <c r="E150" i="3"/>
  <c r="D150" i="3"/>
  <c r="N149" i="3"/>
  <c r="H149" i="3"/>
  <c r="G149" i="3"/>
  <c r="F149" i="3"/>
  <c r="E149" i="3"/>
  <c r="D149" i="3"/>
  <c r="N148" i="3"/>
  <c r="H148" i="3"/>
  <c r="G148" i="3"/>
  <c r="F148" i="3"/>
  <c r="E148" i="3"/>
  <c r="D148" i="3"/>
  <c r="N147" i="3"/>
  <c r="H147" i="3"/>
  <c r="G147" i="3"/>
  <c r="F147" i="3"/>
  <c r="E147" i="3"/>
  <c r="D147" i="3"/>
  <c r="N146" i="3"/>
  <c r="H146" i="3"/>
  <c r="G146" i="3"/>
  <c r="F146" i="3"/>
  <c r="E146" i="3"/>
  <c r="D146" i="3"/>
  <c r="N145" i="3"/>
  <c r="H145" i="3"/>
  <c r="G145" i="3"/>
  <c r="F145" i="3"/>
  <c r="E145" i="3"/>
  <c r="D145" i="3"/>
  <c r="N144" i="3"/>
  <c r="H144" i="3"/>
  <c r="G144" i="3"/>
  <c r="F144" i="3"/>
  <c r="E144" i="3"/>
  <c r="D144" i="3"/>
  <c r="N143" i="3"/>
  <c r="H143" i="3"/>
  <c r="G143" i="3"/>
  <c r="F143" i="3"/>
  <c r="E143" i="3"/>
  <c r="D143" i="3"/>
  <c r="N142" i="3"/>
  <c r="H142" i="3"/>
  <c r="G142" i="3"/>
  <c r="F142" i="3"/>
  <c r="E142" i="3"/>
  <c r="D142" i="3"/>
  <c r="N141" i="3"/>
  <c r="H141" i="3"/>
  <c r="G141" i="3"/>
  <c r="F141" i="3"/>
  <c r="E141" i="3"/>
  <c r="D141" i="3"/>
  <c r="N140" i="3"/>
  <c r="H140" i="3"/>
  <c r="G140" i="3"/>
  <c r="F140" i="3"/>
  <c r="E140" i="3"/>
  <c r="D140" i="3"/>
  <c r="N139" i="3"/>
  <c r="H139" i="3"/>
  <c r="G139" i="3"/>
  <c r="F139" i="3"/>
  <c r="E139" i="3"/>
  <c r="D139" i="3"/>
  <c r="N138" i="3"/>
  <c r="H138" i="3"/>
  <c r="G138" i="3"/>
  <c r="F138" i="3"/>
  <c r="E138" i="3"/>
  <c r="D138" i="3"/>
  <c r="AC238" i="1"/>
  <c r="AC237" i="1"/>
  <c r="AC236" i="1"/>
  <c r="AC235" i="1"/>
  <c r="AC234" i="1"/>
  <c r="AC233" i="1"/>
  <c r="AC232" i="1"/>
  <c r="AC231" i="1"/>
  <c r="AC229" i="1"/>
  <c r="AC228" i="1"/>
  <c r="AC227" i="1"/>
  <c r="AC226" i="1"/>
  <c r="AC225" i="1"/>
  <c r="AC224" i="1"/>
  <c r="AC223" i="1"/>
  <c r="AC222" i="1"/>
  <c r="AC221" i="1"/>
  <c r="AC220" i="1"/>
  <c r="AC219" i="1"/>
  <c r="AC218" i="1"/>
  <c r="AC217" i="1"/>
  <c r="AC216" i="1"/>
  <c r="AC215" i="1"/>
  <c r="AC214" i="1"/>
  <c r="AC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AC200" i="1"/>
  <c r="D45" i="4"/>
  <c r="D44" i="4"/>
  <c r="D43" i="4"/>
  <c r="D42" i="4"/>
  <c r="D41" i="4"/>
  <c r="D34" i="4"/>
  <c r="D136" i="4"/>
  <c r="D110" i="4"/>
  <c r="D9" i="4"/>
  <c r="E136" i="4"/>
  <c r="E110" i="4"/>
  <c r="E9" i="4"/>
  <c r="N137" i="3"/>
  <c r="H137" i="3"/>
  <c r="G137" i="3"/>
  <c r="F137" i="3"/>
  <c r="E137" i="3"/>
  <c r="D137" i="3"/>
  <c r="N136" i="3"/>
  <c r="H136" i="3"/>
  <c r="G136" i="3"/>
  <c r="F136" i="3"/>
  <c r="E136" i="3"/>
  <c r="D136" i="3"/>
  <c r="N135" i="3"/>
  <c r="H135" i="3"/>
  <c r="G135" i="3"/>
  <c r="F135" i="3"/>
  <c r="E135" i="3"/>
  <c r="D135" i="3"/>
  <c r="N134" i="3"/>
  <c r="H134" i="3"/>
  <c r="G134" i="3"/>
  <c r="F134" i="3"/>
  <c r="E134" i="3"/>
  <c r="D134" i="3"/>
  <c r="N133" i="3"/>
  <c r="H133" i="3"/>
  <c r="G133" i="3"/>
  <c r="F133" i="3"/>
  <c r="E133" i="3"/>
  <c r="D133" i="3"/>
  <c r="N132" i="3"/>
  <c r="H132" i="3"/>
  <c r="G132" i="3"/>
  <c r="F132" i="3"/>
  <c r="E132" i="3"/>
  <c r="D132" i="3"/>
  <c r="N131" i="3"/>
  <c r="H131" i="3"/>
  <c r="G131" i="3"/>
  <c r="F131" i="3"/>
  <c r="E131" i="3"/>
  <c r="D131" i="3"/>
  <c r="N130" i="3"/>
  <c r="H130" i="3"/>
  <c r="G130" i="3"/>
  <c r="F130" i="3"/>
  <c r="E130" i="3"/>
  <c r="D130" i="3"/>
  <c r="N129" i="3"/>
  <c r="H129" i="3"/>
  <c r="G129" i="3"/>
  <c r="F129" i="3"/>
  <c r="E129" i="3"/>
  <c r="D129" i="3"/>
  <c r="N128" i="3"/>
  <c r="H128" i="3"/>
  <c r="G128" i="3"/>
  <c r="F128" i="3"/>
  <c r="E128" i="3"/>
  <c r="D128" i="3"/>
  <c r="N127" i="3"/>
  <c r="H127" i="3"/>
  <c r="G127" i="3"/>
  <c r="F127" i="3"/>
  <c r="E127" i="3"/>
  <c r="D127" i="3"/>
  <c r="AA265" i="1"/>
  <c r="AA264" i="1"/>
  <c r="AA263" i="1"/>
  <c r="AA262" i="1"/>
  <c r="AA261" i="1"/>
  <c r="Z261" i="1"/>
  <c r="AA260" i="1"/>
  <c r="AA259" i="1"/>
  <c r="AA258" i="1"/>
  <c r="AA257" i="1"/>
  <c r="M1" i="5"/>
  <c r="N4" i="5"/>
  <c r="N3" i="5"/>
  <c r="V4" i="4"/>
  <c r="U5" i="4"/>
  <c r="U4" i="4"/>
  <c r="I5" i="3"/>
  <c r="I80" i="3" s="1"/>
  <c r="J5" i="3"/>
  <c r="K5" i="3"/>
  <c r="K97" i="3" s="1"/>
  <c r="L5" i="3"/>
  <c r="L118" i="3" s="1"/>
  <c r="M5" i="3"/>
  <c r="M36" i="3" s="1"/>
  <c r="AE238" i="1"/>
  <c r="AG238" i="1"/>
  <c r="AD238" i="1"/>
  <c r="AB238" i="1"/>
  <c r="Z238" i="1"/>
  <c r="AE237" i="1"/>
  <c r="AG237" i="1"/>
  <c r="AD237" i="1"/>
  <c r="AB237" i="1"/>
  <c r="Z237" i="1"/>
  <c r="AE236" i="1"/>
  <c r="AG236" i="1"/>
  <c r="AD236" i="1"/>
  <c r="AB236" i="1"/>
  <c r="Z236" i="1"/>
  <c r="AE235" i="1"/>
  <c r="AG235" i="1"/>
  <c r="AD235" i="1"/>
  <c r="AB235" i="1"/>
  <c r="Z235" i="1"/>
  <c r="AE234" i="1"/>
  <c r="AG234" i="1"/>
  <c r="AD234" i="1"/>
  <c r="AB234" i="1"/>
  <c r="Z234" i="1"/>
  <c r="AE233" i="1"/>
  <c r="AG233" i="1"/>
  <c r="AD233" i="1"/>
  <c r="AB233" i="1"/>
  <c r="Z233" i="1"/>
  <c r="AE232" i="1"/>
  <c r="AG232" i="1"/>
  <c r="AD232" i="1"/>
  <c r="AB232" i="1"/>
  <c r="Z232" i="1"/>
  <c r="AE231" i="1"/>
  <c r="AG231" i="1"/>
  <c r="AD231" i="1"/>
  <c r="AB231" i="1"/>
  <c r="K231" i="1" s="1"/>
  <c r="Z231" i="1"/>
  <c r="AE229" i="1"/>
  <c r="D17" i="3"/>
  <c r="E17" i="3"/>
  <c r="F17" i="3"/>
  <c r="G17" i="3"/>
  <c r="H17" i="3"/>
  <c r="I17" i="3"/>
  <c r="J17" i="3"/>
  <c r="K17" i="3"/>
  <c r="L17" i="3"/>
  <c r="M17" i="3"/>
  <c r="N17" i="3"/>
  <c r="N18" i="3"/>
  <c r="AB229" i="1"/>
  <c r="AE228" i="1"/>
  <c r="AB228" i="1"/>
  <c r="AE227" i="1"/>
  <c r="AB227" i="1"/>
  <c r="AE226" i="1"/>
  <c r="AB226" i="1"/>
  <c r="AE225" i="1"/>
  <c r="AB225" i="1"/>
  <c r="AE224" i="1"/>
  <c r="AB224" i="1"/>
  <c r="AE223" i="1"/>
  <c r="AB223" i="1"/>
  <c r="AE222" i="1"/>
  <c r="AB222" i="1"/>
  <c r="AE221" i="1"/>
  <c r="AG221" i="1"/>
  <c r="AB221" i="1"/>
  <c r="AE220" i="1"/>
  <c r="AG220" i="1"/>
  <c r="AB220" i="1"/>
  <c r="AE219" i="1"/>
  <c r="AG219" i="1"/>
  <c r="AB219" i="1"/>
  <c r="AE218" i="1"/>
  <c r="AG218" i="1"/>
  <c r="AB218" i="1"/>
  <c r="AE217" i="1"/>
  <c r="AG217" i="1"/>
  <c r="AB217" i="1"/>
  <c r="AE216" i="1"/>
  <c r="AG216" i="1"/>
  <c r="AB216" i="1"/>
  <c r="AE215" i="1"/>
  <c r="AG215" i="1"/>
  <c r="AB215" i="1"/>
  <c r="AE214" i="1"/>
  <c r="AG214" i="1"/>
  <c r="AB214" i="1"/>
  <c r="AE213" i="1"/>
  <c r="AG213" i="1"/>
  <c r="AB213" i="1"/>
  <c r="AE212" i="1"/>
  <c r="AG212" i="1"/>
  <c r="AB212" i="1"/>
  <c r="AE211" i="1"/>
  <c r="AB211" i="1"/>
  <c r="AE210" i="1"/>
  <c r="AB210" i="1"/>
  <c r="AE209" i="1"/>
  <c r="AG209" i="1"/>
  <c r="AD209" i="1"/>
  <c r="AB209" i="1"/>
  <c r="AE208" i="1"/>
  <c r="AG208" i="1"/>
  <c r="AB208" i="1"/>
  <c r="AE207" i="1"/>
  <c r="AG207" i="1"/>
  <c r="AB207" i="1"/>
  <c r="AE206" i="1"/>
  <c r="AG206" i="1"/>
  <c r="AB206" i="1"/>
  <c r="AE205" i="1"/>
  <c r="AG205" i="1"/>
  <c r="AB205" i="1"/>
  <c r="AE204" i="1"/>
  <c r="AG204" i="1"/>
  <c r="AB204" i="1"/>
  <c r="AE203" i="1"/>
  <c r="AG203" i="1"/>
  <c r="AB203" i="1"/>
  <c r="AE202" i="1"/>
  <c r="AG202" i="1"/>
  <c r="AB202" i="1"/>
  <c r="AE201" i="1"/>
  <c r="AG201" i="1"/>
  <c r="AB201" i="1"/>
  <c r="AG200" i="1"/>
  <c r="AB200" i="1"/>
  <c r="AE200" i="1"/>
  <c r="AD200" i="1"/>
  <c r="AD203" i="1"/>
  <c r="AD204" i="1"/>
  <c r="AD205" i="1"/>
  <c r="AD206" i="1"/>
  <c r="AD207" i="1"/>
  <c r="AD208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T11" i="3"/>
  <c r="T40" i="3" s="1"/>
  <c r="M141" i="3"/>
  <c r="X9" i="3"/>
  <c r="X38" i="3" s="1"/>
  <c r="I46" i="3"/>
  <c r="Z8" i="3"/>
  <c r="Z37" i="3" s="1"/>
  <c r="R8" i="3"/>
  <c r="R37" i="3" s="1"/>
  <c r="Z7" i="3"/>
  <c r="Z36" i="3" s="1"/>
  <c r="L155" i="3"/>
  <c r="M6" i="3"/>
  <c r="L6" i="3"/>
  <c r="K6" i="3"/>
  <c r="J6" i="3"/>
  <c r="I6" i="3"/>
  <c r="I68" i="3" s="1"/>
  <c r="M4" i="3"/>
  <c r="Z4" i="3" s="1"/>
  <c r="Z33" i="3" s="1"/>
  <c r="L4" i="3"/>
  <c r="K4" i="3"/>
  <c r="K160" i="3" s="1"/>
  <c r="J4" i="3"/>
  <c r="I4" i="3"/>
  <c r="I21" i="3" s="1"/>
  <c r="I137" i="3"/>
  <c r="Z3" i="3"/>
  <c r="Z32" i="3" s="1"/>
  <c r="L3" i="3"/>
  <c r="L38" i="3" s="1"/>
  <c r="K3" i="3"/>
  <c r="J160" i="3"/>
  <c r="I161" i="3"/>
  <c r="AD256" i="1"/>
  <c r="AD257" i="1"/>
  <c r="AD258" i="1"/>
  <c r="AD259" i="1"/>
  <c r="AD260" i="1"/>
  <c r="AD261" i="1"/>
  <c r="AD262" i="1"/>
  <c r="AD263" i="1"/>
  <c r="AD264" i="1"/>
  <c r="AD265" i="1"/>
  <c r="AD201" i="1"/>
  <c r="AD202" i="1"/>
  <c r="AD228" i="1"/>
  <c r="AD229" i="1"/>
  <c r="D182" i="3"/>
  <c r="N182" i="3"/>
  <c r="K230" i="1"/>
  <c r="K199" i="1"/>
  <c r="AG210" i="1"/>
  <c r="AG211" i="1"/>
  <c r="AG222" i="1"/>
  <c r="AG223" i="1"/>
  <c r="AG224" i="1"/>
  <c r="AG225" i="1"/>
  <c r="AG226" i="1"/>
  <c r="AG227" i="1"/>
  <c r="AG228" i="1"/>
  <c r="AG229" i="1"/>
  <c r="Z256" i="1"/>
  <c r="Z257" i="1"/>
  <c r="Z258" i="1"/>
  <c r="Z259" i="1"/>
  <c r="Z260" i="1"/>
  <c r="Z262" i="1"/>
  <c r="Z263" i="1"/>
  <c r="Z264" i="1"/>
  <c r="Z265" i="1"/>
  <c r="E24" i="3"/>
  <c r="AD243" i="1"/>
  <c r="AD244" i="1"/>
  <c r="AD245" i="1"/>
  <c r="AD246" i="1"/>
  <c r="AD247" i="1"/>
  <c r="AD248" i="1"/>
  <c r="AD249" i="1"/>
  <c r="AD250" i="1"/>
  <c r="AD251" i="1"/>
  <c r="AD252" i="1"/>
  <c r="AB243" i="1"/>
  <c r="AG243" i="1"/>
  <c r="AB244" i="1"/>
  <c r="AG244" i="1"/>
  <c r="AB245" i="1"/>
  <c r="AG245" i="1"/>
  <c r="AB246" i="1"/>
  <c r="AG246" i="1"/>
  <c r="AB247" i="1"/>
  <c r="AG247" i="1"/>
  <c r="AB248" i="1"/>
  <c r="AG248" i="1"/>
  <c r="AB249" i="1"/>
  <c r="AG249" i="1"/>
  <c r="AB250" i="1"/>
  <c r="AG250" i="1"/>
  <c r="AB251" i="1"/>
  <c r="AG251" i="1"/>
  <c r="AB252" i="1"/>
  <c r="AG252" i="1"/>
  <c r="D253" i="1"/>
  <c r="K242" i="1" s="1"/>
  <c r="AI243" i="1"/>
  <c r="AJ243" i="1"/>
  <c r="K245" i="1"/>
  <c r="AC245" i="1" s="1"/>
  <c r="K246" i="1"/>
  <c r="AC246" i="1" s="1"/>
  <c r="K247" i="1"/>
  <c r="AC247" i="1" s="1"/>
  <c r="K248" i="1"/>
  <c r="AC248" i="1" s="1"/>
  <c r="K249" i="1"/>
  <c r="AC249" i="1" s="1"/>
  <c r="K250" i="1"/>
  <c r="AC250" i="1" s="1"/>
  <c r="K251" i="1"/>
  <c r="AC251" i="1" s="1"/>
  <c r="K252" i="1"/>
  <c r="AC252" i="1" s="1"/>
  <c r="AI244" i="1"/>
  <c r="AI245" i="1"/>
  <c r="AI246" i="1"/>
  <c r="AI247" i="1"/>
  <c r="AI248" i="1"/>
  <c r="AI249" i="1"/>
  <c r="AI250" i="1"/>
  <c r="AI251" i="1"/>
  <c r="AI252" i="1"/>
  <c r="N126" i="3"/>
  <c r="H126" i="3"/>
  <c r="G126" i="3"/>
  <c r="F126" i="3"/>
  <c r="E126" i="3"/>
  <c r="D126" i="3"/>
  <c r="N125" i="3"/>
  <c r="H125" i="3"/>
  <c r="G125" i="3"/>
  <c r="F125" i="3"/>
  <c r="E125" i="3"/>
  <c r="D125" i="3"/>
  <c r="N124" i="3"/>
  <c r="H124" i="3"/>
  <c r="G124" i="3"/>
  <c r="F124" i="3"/>
  <c r="E124" i="3"/>
  <c r="D124" i="3"/>
  <c r="N123" i="3"/>
  <c r="H123" i="3"/>
  <c r="G123" i="3"/>
  <c r="F123" i="3"/>
  <c r="E123" i="3"/>
  <c r="D123" i="3"/>
  <c r="N122" i="3"/>
  <c r="H122" i="3"/>
  <c r="G122" i="3"/>
  <c r="F122" i="3"/>
  <c r="E122" i="3"/>
  <c r="D122" i="3"/>
  <c r="N121" i="3"/>
  <c r="H121" i="3"/>
  <c r="G121" i="3"/>
  <c r="F121" i="3"/>
  <c r="E121" i="3"/>
  <c r="D121" i="3"/>
  <c r="N120" i="3"/>
  <c r="H120" i="3"/>
  <c r="G120" i="3"/>
  <c r="F120" i="3"/>
  <c r="E120" i="3"/>
  <c r="D120" i="3"/>
  <c r="N119" i="3"/>
  <c r="H119" i="3"/>
  <c r="G119" i="3"/>
  <c r="F119" i="3"/>
  <c r="E119" i="3"/>
  <c r="D119" i="3"/>
  <c r="N118" i="3"/>
  <c r="H118" i="3"/>
  <c r="G118" i="3"/>
  <c r="F118" i="3"/>
  <c r="E118" i="3"/>
  <c r="D118" i="3"/>
  <c r="W4" i="4"/>
  <c r="W5" i="4"/>
  <c r="AJ252" i="1"/>
  <c r="L252" i="1"/>
  <c r="AJ251" i="1"/>
  <c r="L251" i="1"/>
  <c r="AJ250" i="1"/>
  <c r="L250" i="1"/>
  <c r="AJ249" i="1"/>
  <c r="L249" i="1"/>
  <c r="AJ248" i="1"/>
  <c r="L248" i="1"/>
  <c r="AJ247" i="1"/>
  <c r="L247" i="1"/>
  <c r="AJ246" i="1"/>
  <c r="L246" i="1"/>
  <c r="N117" i="3"/>
  <c r="H117" i="3"/>
  <c r="G117" i="3"/>
  <c r="F117" i="3"/>
  <c r="E117" i="3"/>
  <c r="D117" i="3"/>
  <c r="N116" i="3"/>
  <c r="H116" i="3"/>
  <c r="G116" i="3"/>
  <c r="F116" i="3"/>
  <c r="E116" i="3"/>
  <c r="D116" i="3"/>
  <c r="N115" i="3"/>
  <c r="H115" i="3"/>
  <c r="G115" i="3"/>
  <c r="F115" i="3"/>
  <c r="E115" i="3"/>
  <c r="D115" i="3"/>
  <c r="N114" i="3"/>
  <c r="H114" i="3"/>
  <c r="G114" i="3"/>
  <c r="F114" i="3"/>
  <c r="E114" i="3"/>
  <c r="D114" i="3"/>
  <c r="N113" i="3"/>
  <c r="H113" i="3"/>
  <c r="G113" i="3"/>
  <c r="F113" i="3"/>
  <c r="E113" i="3"/>
  <c r="D113" i="3"/>
  <c r="N112" i="3"/>
  <c r="H112" i="3"/>
  <c r="G112" i="3"/>
  <c r="F112" i="3"/>
  <c r="E112" i="3"/>
  <c r="D112" i="3"/>
  <c r="N111" i="3"/>
  <c r="H111" i="3"/>
  <c r="G111" i="3"/>
  <c r="F111" i="3"/>
  <c r="E111" i="3"/>
  <c r="D111" i="3"/>
  <c r="N110" i="3"/>
  <c r="H110" i="3"/>
  <c r="G110" i="3"/>
  <c r="F110" i="3"/>
  <c r="E110" i="3"/>
  <c r="D110" i="3"/>
  <c r="N109" i="3"/>
  <c r="H109" i="3"/>
  <c r="G109" i="3"/>
  <c r="F109" i="3"/>
  <c r="E109" i="3"/>
  <c r="D109" i="3"/>
  <c r="N108" i="3"/>
  <c r="H108" i="3"/>
  <c r="G108" i="3"/>
  <c r="F108" i="3"/>
  <c r="E108" i="3"/>
  <c r="D108" i="3"/>
  <c r="N107" i="3"/>
  <c r="H107" i="3"/>
  <c r="G107" i="3"/>
  <c r="F107" i="3"/>
  <c r="E107" i="3"/>
  <c r="D107" i="3"/>
  <c r="N106" i="3"/>
  <c r="H106" i="3"/>
  <c r="G106" i="3"/>
  <c r="F106" i="3"/>
  <c r="E106" i="3"/>
  <c r="D106" i="3"/>
  <c r="N105" i="3"/>
  <c r="H105" i="3"/>
  <c r="G105" i="3"/>
  <c r="F105" i="3"/>
  <c r="E105" i="3"/>
  <c r="D105" i="3"/>
  <c r="N104" i="3"/>
  <c r="H104" i="3"/>
  <c r="G104" i="3"/>
  <c r="F104" i="3"/>
  <c r="E104" i="3"/>
  <c r="D104" i="3"/>
  <c r="N102" i="3"/>
  <c r="H102" i="3"/>
  <c r="G102" i="3"/>
  <c r="F102" i="3"/>
  <c r="E102" i="3"/>
  <c r="D102" i="3"/>
  <c r="N101" i="3"/>
  <c r="H101" i="3"/>
  <c r="G101" i="3"/>
  <c r="F101" i="3"/>
  <c r="E101" i="3"/>
  <c r="D101" i="3"/>
  <c r="N100" i="3"/>
  <c r="H100" i="3"/>
  <c r="G100" i="3"/>
  <c r="F100" i="3"/>
  <c r="E100" i="3"/>
  <c r="D100" i="3"/>
  <c r="N99" i="3"/>
  <c r="H99" i="3"/>
  <c r="G99" i="3"/>
  <c r="F99" i="3"/>
  <c r="E99" i="3"/>
  <c r="D99" i="3"/>
  <c r="N98" i="3"/>
  <c r="H98" i="3"/>
  <c r="G98" i="3"/>
  <c r="F98" i="3"/>
  <c r="E98" i="3"/>
  <c r="D98" i="3"/>
  <c r="N97" i="3"/>
  <c r="H97" i="3"/>
  <c r="G97" i="3"/>
  <c r="F97" i="3"/>
  <c r="E97" i="3"/>
  <c r="D97" i="3"/>
  <c r="N96" i="3"/>
  <c r="H96" i="3"/>
  <c r="G96" i="3"/>
  <c r="F96" i="3"/>
  <c r="E96" i="3"/>
  <c r="D96" i="3"/>
  <c r="N95" i="3"/>
  <c r="H95" i="3"/>
  <c r="G95" i="3"/>
  <c r="F95" i="3"/>
  <c r="E95" i="3"/>
  <c r="D95" i="3"/>
  <c r="N94" i="3"/>
  <c r="H94" i="3"/>
  <c r="G94" i="3"/>
  <c r="F94" i="3"/>
  <c r="E94" i="3"/>
  <c r="D94" i="3"/>
  <c r="N93" i="3"/>
  <c r="H93" i="3"/>
  <c r="G93" i="3"/>
  <c r="F93" i="3"/>
  <c r="E93" i="3"/>
  <c r="D93" i="3"/>
  <c r="D239" i="1"/>
  <c r="L239" i="1" s="1"/>
  <c r="AJ245" i="1"/>
  <c r="AJ244" i="1"/>
  <c r="M182" i="3"/>
  <c r="L182" i="3"/>
  <c r="K182" i="3"/>
  <c r="J182" i="3"/>
  <c r="I182" i="3"/>
  <c r="H182" i="3"/>
  <c r="G182" i="3"/>
  <c r="F182" i="3"/>
  <c r="E182" i="3"/>
  <c r="N92" i="3"/>
  <c r="H92" i="3"/>
  <c r="G92" i="3"/>
  <c r="F92" i="3"/>
  <c r="E92" i="3"/>
  <c r="D92" i="3"/>
  <c r="N91" i="3"/>
  <c r="H91" i="3"/>
  <c r="G91" i="3"/>
  <c r="F91" i="3"/>
  <c r="E91" i="3"/>
  <c r="D91" i="3"/>
  <c r="N90" i="3"/>
  <c r="H90" i="3"/>
  <c r="G90" i="3"/>
  <c r="F90" i="3"/>
  <c r="E90" i="3"/>
  <c r="D90" i="3"/>
  <c r="N89" i="3"/>
  <c r="H89" i="3"/>
  <c r="G89" i="3"/>
  <c r="F89" i="3"/>
  <c r="E89" i="3"/>
  <c r="D89" i="3"/>
  <c r="N88" i="3"/>
  <c r="H88" i="3"/>
  <c r="G88" i="3"/>
  <c r="F88" i="3"/>
  <c r="E88" i="3"/>
  <c r="D88" i="3"/>
  <c r="N87" i="3"/>
  <c r="H87" i="3"/>
  <c r="G87" i="3"/>
  <c r="F87" i="3"/>
  <c r="E87" i="3"/>
  <c r="D87" i="3"/>
  <c r="N86" i="3"/>
  <c r="H86" i="3"/>
  <c r="G86" i="3"/>
  <c r="F86" i="3"/>
  <c r="E86" i="3"/>
  <c r="D86" i="3"/>
  <c r="N85" i="3"/>
  <c r="H85" i="3"/>
  <c r="G85" i="3"/>
  <c r="F85" i="3"/>
  <c r="E85" i="3"/>
  <c r="D85" i="3"/>
  <c r="N84" i="3"/>
  <c r="H84" i="3"/>
  <c r="G84" i="3"/>
  <c r="F84" i="3"/>
  <c r="E84" i="3"/>
  <c r="D84" i="3"/>
  <c r="N83" i="3"/>
  <c r="H83" i="3"/>
  <c r="G83" i="3"/>
  <c r="F83" i="3"/>
  <c r="E83" i="3"/>
  <c r="D83" i="3"/>
  <c r="N82" i="3"/>
  <c r="H82" i="3"/>
  <c r="G82" i="3"/>
  <c r="F82" i="3"/>
  <c r="E82" i="3"/>
  <c r="D82" i="3"/>
  <c r="N81" i="3"/>
  <c r="H81" i="3"/>
  <c r="G81" i="3"/>
  <c r="F81" i="3"/>
  <c r="E81" i="3"/>
  <c r="D81" i="3"/>
  <c r="N80" i="3"/>
  <c r="H80" i="3"/>
  <c r="G80" i="3"/>
  <c r="F80" i="3"/>
  <c r="E80" i="3"/>
  <c r="D80" i="3"/>
  <c r="N79" i="3"/>
  <c r="H79" i="3"/>
  <c r="G79" i="3"/>
  <c r="F79" i="3"/>
  <c r="E79" i="3"/>
  <c r="D79" i="3"/>
  <c r="N78" i="3"/>
  <c r="H78" i="3"/>
  <c r="G78" i="3"/>
  <c r="F78" i="3"/>
  <c r="E78" i="3"/>
  <c r="D78" i="3"/>
  <c r="N77" i="3"/>
  <c r="H77" i="3"/>
  <c r="G77" i="3"/>
  <c r="F77" i="3"/>
  <c r="E77" i="3"/>
  <c r="D77" i="3"/>
  <c r="N76" i="3"/>
  <c r="H76" i="3"/>
  <c r="G76" i="3"/>
  <c r="F76" i="3"/>
  <c r="E76" i="3"/>
  <c r="D76" i="3"/>
  <c r="N75" i="3"/>
  <c r="H75" i="3"/>
  <c r="G75" i="3"/>
  <c r="F75" i="3"/>
  <c r="E75" i="3"/>
  <c r="D75" i="3"/>
  <c r="N74" i="3"/>
  <c r="H74" i="3"/>
  <c r="G74" i="3"/>
  <c r="F74" i="3"/>
  <c r="E74" i="3"/>
  <c r="N192" i="3"/>
  <c r="M192" i="3"/>
  <c r="L192" i="3"/>
  <c r="K192" i="3"/>
  <c r="J192" i="3"/>
  <c r="I192" i="3"/>
  <c r="H192" i="3"/>
  <c r="G192" i="3"/>
  <c r="F192" i="3"/>
  <c r="E192" i="3"/>
  <c r="D192" i="3"/>
  <c r="N191" i="3"/>
  <c r="M191" i="3"/>
  <c r="L191" i="3"/>
  <c r="K191" i="3"/>
  <c r="J191" i="3"/>
  <c r="I191" i="3"/>
  <c r="H191" i="3"/>
  <c r="G191" i="3"/>
  <c r="F191" i="3"/>
  <c r="E191" i="3"/>
  <c r="D191" i="3"/>
  <c r="N190" i="3"/>
  <c r="M190" i="3"/>
  <c r="L190" i="3"/>
  <c r="K190" i="3"/>
  <c r="J190" i="3"/>
  <c r="I190" i="3"/>
  <c r="H190" i="3"/>
  <c r="G190" i="3"/>
  <c r="F190" i="3"/>
  <c r="E190" i="3"/>
  <c r="D190" i="3"/>
  <c r="N189" i="3"/>
  <c r="M189" i="3"/>
  <c r="L189" i="3"/>
  <c r="K189" i="3"/>
  <c r="J189" i="3"/>
  <c r="I189" i="3"/>
  <c r="H189" i="3"/>
  <c r="G189" i="3"/>
  <c r="F189" i="3"/>
  <c r="E189" i="3"/>
  <c r="D189" i="3"/>
  <c r="N188" i="3"/>
  <c r="M188" i="3"/>
  <c r="L188" i="3"/>
  <c r="K188" i="3"/>
  <c r="J188" i="3"/>
  <c r="I188" i="3"/>
  <c r="H188" i="3"/>
  <c r="G188" i="3"/>
  <c r="F188" i="3"/>
  <c r="E188" i="3"/>
  <c r="D188" i="3"/>
  <c r="N187" i="3"/>
  <c r="M187" i="3"/>
  <c r="L187" i="3"/>
  <c r="K187" i="3"/>
  <c r="J187" i="3"/>
  <c r="I187" i="3"/>
  <c r="H187" i="3"/>
  <c r="G187" i="3"/>
  <c r="F187" i="3"/>
  <c r="E187" i="3"/>
  <c r="D187" i="3"/>
  <c r="N186" i="3"/>
  <c r="M186" i="3"/>
  <c r="L186" i="3"/>
  <c r="K186" i="3"/>
  <c r="J186" i="3"/>
  <c r="I186" i="3"/>
  <c r="H186" i="3"/>
  <c r="G186" i="3"/>
  <c r="F186" i="3"/>
  <c r="E186" i="3"/>
  <c r="D186" i="3"/>
  <c r="N185" i="3"/>
  <c r="M185" i="3"/>
  <c r="L185" i="3"/>
  <c r="K185" i="3"/>
  <c r="J185" i="3"/>
  <c r="I185" i="3"/>
  <c r="H185" i="3"/>
  <c r="G185" i="3"/>
  <c r="F185" i="3"/>
  <c r="E185" i="3"/>
  <c r="D185" i="3"/>
  <c r="N184" i="3"/>
  <c r="M184" i="3"/>
  <c r="L184" i="3"/>
  <c r="K184" i="3"/>
  <c r="J184" i="3"/>
  <c r="I184" i="3"/>
  <c r="H184" i="3"/>
  <c r="G184" i="3"/>
  <c r="F184" i="3"/>
  <c r="E184" i="3"/>
  <c r="D184" i="3"/>
  <c r="N183" i="3"/>
  <c r="M183" i="3"/>
  <c r="L183" i="3"/>
  <c r="K183" i="3"/>
  <c r="J183" i="3"/>
  <c r="I183" i="3"/>
  <c r="H183" i="3"/>
  <c r="G183" i="3"/>
  <c r="F183" i="3"/>
  <c r="E183" i="3"/>
  <c r="D183" i="3"/>
  <c r="D73" i="3"/>
  <c r="E73" i="3"/>
  <c r="F73" i="3"/>
  <c r="G73" i="3"/>
  <c r="H73" i="3"/>
  <c r="N73" i="3"/>
  <c r="D72" i="3"/>
  <c r="E72" i="3"/>
  <c r="F72" i="3"/>
  <c r="G72" i="3"/>
  <c r="H72" i="3"/>
  <c r="N72" i="3"/>
  <c r="N193" i="3"/>
  <c r="M193" i="3"/>
  <c r="L193" i="3"/>
  <c r="K193" i="3"/>
  <c r="J193" i="3"/>
  <c r="I193" i="3"/>
  <c r="N71" i="3"/>
  <c r="H71" i="3"/>
  <c r="G71" i="3"/>
  <c r="F71" i="3"/>
  <c r="E71" i="3"/>
  <c r="D71" i="3"/>
  <c r="N70" i="3"/>
  <c r="H70" i="3"/>
  <c r="G70" i="3"/>
  <c r="F70" i="3"/>
  <c r="E70" i="3"/>
  <c r="D70" i="3"/>
  <c r="N69" i="3"/>
  <c r="H69" i="3"/>
  <c r="G69" i="3"/>
  <c r="F69" i="3"/>
  <c r="E69" i="3"/>
  <c r="D69" i="3"/>
  <c r="N68" i="3"/>
  <c r="H68" i="3"/>
  <c r="G68" i="3"/>
  <c r="F68" i="3"/>
  <c r="E68" i="3"/>
  <c r="D68" i="3"/>
  <c r="N67" i="3"/>
  <c r="H67" i="3"/>
  <c r="G67" i="3"/>
  <c r="F67" i="3"/>
  <c r="E67" i="3"/>
  <c r="D67" i="3"/>
  <c r="N66" i="3"/>
  <c r="H66" i="3"/>
  <c r="G66" i="3"/>
  <c r="F66" i="3"/>
  <c r="E66" i="3"/>
  <c r="D66" i="3"/>
  <c r="N65" i="3"/>
  <c r="H65" i="3"/>
  <c r="G65" i="3"/>
  <c r="F65" i="3"/>
  <c r="E65" i="3"/>
  <c r="D65" i="3"/>
  <c r="N64" i="3"/>
  <c r="H64" i="3"/>
  <c r="G64" i="3"/>
  <c r="F64" i="3"/>
  <c r="E64" i="3"/>
  <c r="D64" i="3"/>
  <c r="N63" i="3"/>
  <c r="H63" i="3"/>
  <c r="G63" i="3"/>
  <c r="F63" i="3"/>
  <c r="E63" i="3"/>
  <c r="D63" i="3"/>
  <c r="N62" i="3"/>
  <c r="H62" i="3"/>
  <c r="G62" i="3"/>
  <c r="F62" i="3"/>
  <c r="E62" i="3"/>
  <c r="D62" i="3"/>
  <c r="N61" i="3"/>
  <c r="H61" i="3"/>
  <c r="G61" i="3"/>
  <c r="F61" i="3"/>
  <c r="E61" i="3"/>
  <c r="D61" i="3"/>
  <c r="N60" i="3"/>
  <c r="H60" i="3"/>
  <c r="G60" i="3"/>
  <c r="F60" i="3"/>
  <c r="E60" i="3"/>
  <c r="D60" i="3"/>
  <c r="N59" i="3"/>
  <c r="H59" i="3"/>
  <c r="G59" i="3"/>
  <c r="F59" i="3"/>
  <c r="E59" i="3"/>
  <c r="D59" i="3"/>
  <c r="N58" i="3"/>
  <c r="H58" i="3"/>
  <c r="G58" i="3"/>
  <c r="F58" i="3"/>
  <c r="E58" i="3"/>
  <c r="D58" i="3"/>
  <c r="N57" i="3"/>
  <c r="H57" i="3"/>
  <c r="G57" i="3"/>
  <c r="F57" i="3"/>
  <c r="E57" i="3"/>
  <c r="D57" i="3"/>
  <c r="N56" i="3"/>
  <c r="H56" i="3"/>
  <c r="G56" i="3"/>
  <c r="F56" i="3"/>
  <c r="E56" i="3"/>
  <c r="D56" i="3"/>
  <c r="N55" i="3"/>
  <c r="H55" i="3"/>
  <c r="G55" i="3"/>
  <c r="F55" i="3"/>
  <c r="E55" i="3"/>
  <c r="D55" i="3"/>
  <c r="N54" i="3"/>
  <c r="H54" i="3"/>
  <c r="G54" i="3"/>
  <c r="F54" i="3"/>
  <c r="E54" i="3"/>
  <c r="D54" i="3"/>
  <c r="N53" i="3"/>
  <c r="H53" i="3"/>
  <c r="G53" i="3"/>
  <c r="F53" i="3"/>
  <c r="E53" i="3"/>
  <c r="D53" i="3"/>
  <c r="N52" i="3"/>
  <c r="H52" i="3"/>
  <c r="G52" i="3"/>
  <c r="F52" i="3"/>
  <c r="E52" i="3"/>
  <c r="D52" i="3"/>
  <c r="N51" i="3"/>
  <c r="H51" i="3"/>
  <c r="G51" i="3"/>
  <c r="F51" i="3"/>
  <c r="E51" i="3"/>
  <c r="D51" i="3"/>
  <c r="N50" i="3"/>
  <c r="H50" i="3"/>
  <c r="G50" i="3"/>
  <c r="F50" i="3"/>
  <c r="E50" i="3"/>
  <c r="D50" i="3"/>
  <c r="N49" i="3"/>
  <c r="H49" i="3"/>
  <c r="G49" i="3"/>
  <c r="F49" i="3"/>
  <c r="E49" i="3"/>
  <c r="D49" i="3"/>
  <c r="N48" i="3"/>
  <c r="H48" i="3"/>
  <c r="G48" i="3"/>
  <c r="F48" i="3"/>
  <c r="E48" i="3"/>
  <c r="D48" i="3"/>
  <c r="N47" i="3"/>
  <c r="H47" i="3"/>
  <c r="G47" i="3"/>
  <c r="F47" i="3"/>
  <c r="E47" i="3"/>
  <c r="D47" i="3"/>
  <c r="N46" i="3"/>
  <c r="H46" i="3"/>
  <c r="G46" i="3"/>
  <c r="F46" i="3"/>
  <c r="E46" i="3"/>
  <c r="D46" i="3"/>
  <c r="N45" i="3"/>
  <c r="H45" i="3"/>
  <c r="G45" i="3"/>
  <c r="F45" i="3"/>
  <c r="E45" i="3"/>
  <c r="D45" i="3"/>
  <c r="N44" i="3"/>
  <c r="H44" i="3"/>
  <c r="G44" i="3"/>
  <c r="F44" i="3"/>
  <c r="E44" i="3"/>
  <c r="D44" i="3"/>
  <c r="N43" i="3"/>
  <c r="H43" i="3"/>
  <c r="G43" i="3"/>
  <c r="F43" i="3"/>
  <c r="E43" i="3"/>
  <c r="D43" i="3"/>
  <c r="N42" i="3"/>
  <c r="H42" i="3"/>
  <c r="G42" i="3"/>
  <c r="F42" i="3"/>
  <c r="E42" i="3"/>
  <c r="D42" i="3"/>
  <c r="N41" i="3"/>
  <c r="H41" i="3"/>
  <c r="G41" i="3"/>
  <c r="F41" i="3"/>
  <c r="E41" i="3"/>
  <c r="D41" i="3"/>
  <c r="N40" i="3"/>
  <c r="H40" i="3"/>
  <c r="G40" i="3"/>
  <c r="F40" i="3"/>
  <c r="E40" i="3"/>
  <c r="D40" i="3"/>
  <c r="N39" i="3"/>
  <c r="H39" i="3"/>
  <c r="G39" i="3"/>
  <c r="F39" i="3"/>
  <c r="E39" i="3"/>
  <c r="D39" i="3"/>
  <c r="N38" i="3"/>
  <c r="H38" i="3"/>
  <c r="G38" i="3"/>
  <c r="F38" i="3"/>
  <c r="E38" i="3"/>
  <c r="D38" i="3"/>
  <c r="N37" i="3"/>
  <c r="H37" i="3"/>
  <c r="G37" i="3"/>
  <c r="F37" i="3"/>
  <c r="E37" i="3"/>
  <c r="D37" i="3"/>
  <c r="N36" i="3"/>
  <c r="H36" i="3"/>
  <c r="G36" i="3"/>
  <c r="F36" i="3"/>
  <c r="E36" i="3"/>
  <c r="D36" i="3"/>
  <c r="N35" i="3"/>
  <c r="H35" i="3"/>
  <c r="G35" i="3"/>
  <c r="F35" i="3"/>
  <c r="E35" i="3"/>
  <c r="D35" i="3"/>
  <c r="N34" i="3"/>
  <c r="H34" i="3"/>
  <c r="G34" i="3"/>
  <c r="F34" i="3"/>
  <c r="E34" i="3"/>
  <c r="D34" i="3"/>
  <c r="N33" i="3"/>
  <c r="H33" i="3"/>
  <c r="G33" i="3"/>
  <c r="F33" i="3"/>
  <c r="E33" i="3"/>
  <c r="D33" i="3"/>
  <c r="N32" i="3"/>
  <c r="H32" i="3"/>
  <c r="G32" i="3"/>
  <c r="F32" i="3"/>
  <c r="E32" i="3"/>
  <c r="D32" i="3"/>
  <c r="N31" i="3"/>
  <c r="H31" i="3"/>
  <c r="G31" i="3"/>
  <c r="F31" i="3"/>
  <c r="E31" i="3"/>
  <c r="D31" i="3"/>
  <c r="N30" i="3"/>
  <c r="H30" i="3"/>
  <c r="G30" i="3"/>
  <c r="F30" i="3"/>
  <c r="E30" i="3"/>
  <c r="D30" i="3"/>
  <c r="N29" i="3"/>
  <c r="H29" i="3"/>
  <c r="G29" i="3"/>
  <c r="F29" i="3"/>
  <c r="E29" i="3"/>
  <c r="D29" i="3"/>
  <c r="N28" i="3"/>
  <c r="H28" i="3"/>
  <c r="G28" i="3"/>
  <c r="F28" i="3"/>
  <c r="E28" i="3"/>
  <c r="D28" i="3"/>
  <c r="N27" i="3"/>
  <c r="H27" i="3"/>
  <c r="G27" i="3"/>
  <c r="F27" i="3"/>
  <c r="E27" i="3"/>
  <c r="N26" i="3"/>
  <c r="H26" i="3"/>
  <c r="G26" i="3"/>
  <c r="F26" i="3"/>
  <c r="E26" i="3"/>
  <c r="D26" i="3"/>
  <c r="N25" i="3"/>
  <c r="H25" i="3"/>
  <c r="G25" i="3"/>
  <c r="F25" i="3"/>
  <c r="E25" i="3"/>
  <c r="D25" i="3"/>
  <c r="N24" i="3"/>
  <c r="H24" i="3"/>
  <c r="G24" i="3"/>
  <c r="F24" i="3"/>
  <c r="N23" i="3"/>
  <c r="H23" i="3"/>
  <c r="G23" i="3"/>
  <c r="F23" i="3"/>
  <c r="E23" i="3"/>
  <c r="D23" i="3"/>
  <c r="N22" i="3"/>
  <c r="G22" i="3"/>
  <c r="F22" i="3"/>
  <c r="E22" i="3"/>
  <c r="D22" i="3"/>
  <c r="N21" i="3"/>
  <c r="H21" i="3"/>
  <c r="G21" i="3"/>
  <c r="F21" i="3"/>
  <c r="E21" i="3"/>
  <c r="D21" i="3"/>
  <c r="N20" i="3"/>
  <c r="H20" i="3"/>
  <c r="G20" i="3"/>
  <c r="F20" i="3"/>
  <c r="E20" i="3"/>
  <c r="D20" i="3"/>
  <c r="N19" i="3"/>
  <c r="H19" i="3"/>
  <c r="G19" i="3"/>
  <c r="F19" i="3"/>
  <c r="E19" i="3"/>
  <c r="D19" i="3"/>
  <c r="AC265" i="1"/>
  <c r="L265" i="1"/>
  <c r="K265" i="1"/>
  <c r="G265" i="1"/>
  <c r="AC264" i="1"/>
  <c r="L264" i="1"/>
  <c r="K264" i="1"/>
  <c r="G264" i="1"/>
  <c r="AC263" i="1"/>
  <c r="L263" i="1"/>
  <c r="K263" i="1"/>
  <c r="G263" i="1"/>
  <c r="AC262" i="1"/>
  <c r="L262" i="1"/>
  <c r="K262" i="1"/>
  <c r="G262" i="1"/>
  <c r="AC261" i="1"/>
  <c r="L261" i="1"/>
  <c r="K261" i="1"/>
  <c r="G261" i="1"/>
  <c r="AC260" i="1"/>
  <c r="L260" i="1"/>
  <c r="K260" i="1"/>
  <c r="G260" i="1"/>
  <c r="Y2" i="1"/>
  <c r="J1" i="1"/>
  <c r="L230" i="1"/>
  <c r="L199" i="1"/>
  <c r="L266" i="1"/>
  <c r="L259" i="1"/>
  <c r="L258" i="1"/>
  <c r="L257" i="1"/>
  <c r="L256" i="1"/>
  <c r="L255" i="1"/>
  <c r="L254" i="1"/>
  <c r="L253" i="1"/>
  <c r="L245" i="1"/>
  <c r="L244" i="1"/>
  <c r="L243" i="1"/>
  <c r="L242" i="1"/>
  <c r="L241" i="1"/>
  <c r="L240" i="1"/>
  <c r="L238" i="1"/>
  <c r="L237" i="1"/>
  <c r="L236" i="1"/>
  <c r="L235" i="1"/>
  <c r="L234" i="1"/>
  <c r="L233" i="1"/>
  <c r="L232" i="1"/>
  <c r="L231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K238" i="1"/>
  <c r="K237" i="1"/>
  <c r="K236" i="1"/>
  <c r="K235" i="1"/>
  <c r="K234" i="1"/>
  <c r="K233" i="1"/>
  <c r="K232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M18" i="3"/>
  <c r="L18" i="3"/>
  <c r="K18" i="3"/>
  <c r="J18" i="3"/>
  <c r="I18" i="3"/>
  <c r="AC259" i="1"/>
  <c r="K259" i="1"/>
  <c r="AC257" i="1"/>
  <c r="K257" i="1"/>
  <c r="AC256" i="1"/>
  <c r="K256" i="1" s="1"/>
  <c r="AC258" i="1"/>
  <c r="K258" i="1"/>
  <c r="F1" i="1"/>
  <c r="G259" i="1"/>
  <c r="G258" i="1"/>
  <c r="G257" i="1"/>
  <c r="G256" i="1"/>
  <c r="D266" i="1"/>
  <c r="H188" i="1"/>
  <c r="D193" i="3"/>
  <c r="K127" i="3"/>
  <c r="T6" i="3"/>
  <c r="T35" i="3" s="1"/>
  <c r="X3" i="3"/>
  <c r="X32" i="3" s="1"/>
  <c r="K109" i="3"/>
  <c r="K106" i="3"/>
  <c r="W14" i="3"/>
  <c r="W43" i="3" s="1"/>
  <c r="G193" i="3"/>
  <c r="D18" i="3"/>
  <c r="K52" i="3"/>
  <c r="K78" i="3"/>
  <c r="K95" i="3"/>
  <c r="L42" i="3"/>
  <c r="L92" i="3"/>
  <c r="U14" i="3"/>
  <c r="U43" i="3" s="1"/>
  <c r="E193" i="3"/>
  <c r="L49" i="3"/>
  <c r="L78" i="3"/>
  <c r="L19" i="3"/>
  <c r="L62" i="3"/>
  <c r="L34" i="3"/>
  <c r="X5" i="3"/>
  <c r="X34" i="3" s="1"/>
  <c r="L35" i="3"/>
  <c r="L28" i="3"/>
  <c r="L126" i="3"/>
  <c r="L110" i="3"/>
  <c r="L45" i="3"/>
  <c r="L91" i="3"/>
  <c r="L22" i="3"/>
  <c r="I92" i="3"/>
  <c r="M71" i="3"/>
  <c r="K45" i="3"/>
  <c r="M159" i="3"/>
  <c r="I42" i="3"/>
  <c r="M142" i="3"/>
  <c r="M153" i="3"/>
  <c r="Z10" i="3"/>
  <c r="Z39" i="3" s="1"/>
  <c r="K91" i="3"/>
  <c r="M65" i="3"/>
  <c r="M155" i="3"/>
  <c r="M156" i="3"/>
  <c r="M147" i="3"/>
  <c r="M158" i="3"/>
  <c r="M149" i="3"/>
  <c r="V8" i="3"/>
  <c r="V37" i="3" s="1"/>
  <c r="M151" i="3"/>
  <c r="M67" i="3"/>
  <c r="M157" i="3"/>
  <c r="M144" i="3"/>
  <c r="M145" i="3"/>
  <c r="M150" i="3"/>
  <c r="M128" i="3"/>
  <c r="M70" i="3"/>
  <c r="M148" i="3"/>
  <c r="M154" i="3"/>
  <c r="M143" i="3"/>
  <c r="M152" i="3"/>
  <c r="M104" i="3"/>
  <c r="K28" i="3"/>
  <c r="M146" i="3"/>
  <c r="I131" i="3"/>
  <c r="I82" i="3"/>
  <c r="I44" i="3"/>
  <c r="I130" i="3"/>
  <c r="L114" i="3"/>
  <c r="I50" i="3"/>
  <c r="I43" i="3"/>
  <c r="L134" i="3"/>
  <c r="L31" i="3"/>
  <c r="L135" i="3"/>
  <c r="I136" i="3"/>
  <c r="I85" i="3"/>
  <c r="I84" i="3"/>
  <c r="I37" i="3"/>
  <c r="L29" i="3"/>
  <c r="I75" i="3"/>
  <c r="I87" i="3"/>
  <c r="I48" i="3"/>
  <c r="I38" i="3"/>
  <c r="I74" i="3"/>
  <c r="I83" i="3"/>
  <c r="I25" i="3"/>
  <c r="I86" i="3"/>
  <c r="F18" i="3"/>
  <c r="I39" i="3"/>
  <c r="I76" i="3"/>
  <c r="F193" i="3"/>
  <c r="M62" i="3"/>
  <c r="L112" i="3"/>
  <c r="L123" i="3"/>
  <c r="L117" i="3"/>
  <c r="K88" i="3"/>
  <c r="L132" i="3"/>
  <c r="L47" i="3"/>
  <c r="L111" i="3"/>
  <c r="L100" i="3"/>
  <c r="L99" i="3"/>
  <c r="X7" i="3"/>
  <c r="X36" i="3" s="1"/>
  <c r="V3" i="3"/>
  <c r="V32" i="3" s="1"/>
  <c r="L119" i="3"/>
  <c r="K24" i="3"/>
  <c r="K41" i="3"/>
  <c r="K161" i="3"/>
  <c r="L97" i="3"/>
  <c r="M108" i="3"/>
  <c r="I129" i="3"/>
  <c r="M109" i="3"/>
  <c r="X11" i="3"/>
  <c r="X40" i="3" s="1"/>
  <c r="L101" i="3"/>
  <c r="L105" i="3"/>
  <c r="L140" i="3"/>
  <c r="L121" i="3"/>
  <c r="L63" i="3"/>
  <c r="L26" i="3"/>
  <c r="M41" i="3"/>
  <c r="M160" i="3"/>
  <c r="M161" i="3"/>
  <c r="I128" i="3"/>
  <c r="I141" i="3"/>
  <c r="I156" i="3"/>
  <c r="I159" i="3"/>
  <c r="I152" i="3"/>
  <c r="K120" i="3"/>
  <c r="K64" i="3"/>
  <c r="V12" i="3"/>
  <c r="V41" i="3" s="1"/>
  <c r="I65" i="3"/>
  <c r="J68" i="3"/>
  <c r="K164" i="3"/>
  <c r="K89" i="3"/>
  <c r="K108" i="3"/>
  <c r="K107" i="3"/>
  <c r="K125" i="3"/>
  <c r="V9" i="3"/>
  <c r="V38" i="3" s="1"/>
  <c r="K139" i="3"/>
  <c r="L127" i="3"/>
  <c r="L52" i="3"/>
  <c r="L95" i="3"/>
  <c r="L36" i="3"/>
  <c r="L115" i="3"/>
  <c r="L80" i="3"/>
  <c r="X6" i="3"/>
  <c r="X35" i="3" s="1"/>
  <c r="L73" i="3"/>
  <c r="L116" i="3"/>
  <c r="L33" i="3"/>
  <c r="L79" i="3"/>
  <c r="Z11" i="3"/>
  <c r="Z40" i="3" s="1"/>
  <c r="K21" i="3"/>
  <c r="K36" i="3"/>
  <c r="K94" i="3"/>
  <c r="K162" i="3"/>
  <c r="L160" i="3"/>
  <c r="L90" i="3"/>
  <c r="L53" i="3"/>
  <c r="L54" i="3"/>
  <c r="L40" i="3"/>
  <c r="X12" i="3"/>
  <c r="X41" i="3" s="1"/>
  <c r="L41" i="3"/>
  <c r="L69" i="3"/>
  <c r="L30" i="3"/>
  <c r="L58" i="3"/>
  <c r="L66" i="3"/>
  <c r="L20" i="3"/>
  <c r="I146" i="3"/>
  <c r="I150" i="3"/>
  <c r="I158" i="3"/>
  <c r="I153" i="3"/>
  <c r="I71" i="3"/>
  <c r="I144" i="3"/>
  <c r="I155" i="3"/>
  <c r="I102" i="3"/>
  <c r="I148" i="3"/>
  <c r="I151" i="3"/>
  <c r="I67" i="3"/>
  <c r="I149" i="3"/>
  <c r="I145" i="3"/>
  <c r="I70" i="3"/>
  <c r="I35" i="3"/>
  <c r="I154" i="3"/>
  <c r="I147" i="3"/>
  <c r="I143" i="3"/>
  <c r="I142" i="3"/>
  <c r="J106" i="3"/>
  <c r="L131" i="3"/>
  <c r="K103" i="3"/>
  <c r="L156" i="3"/>
  <c r="J104" i="3"/>
  <c r="L71" i="3"/>
  <c r="M88" i="3"/>
  <c r="L87" i="3"/>
  <c r="L65" i="3"/>
  <c r="L70" i="3"/>
  <c r="L94" i="3"/>
  <c r="K132" i="3"/>
  <c r="J113" i="3"/>
  <c r="I157" i="3"/>
  <c r="I103" i="3"/>
  <c r="L37" i="3"/>
  <c r="L128" i="3"/>
  <c r="L139" i="3"/>
  <c r="L153" i="3"/>
  <c r="L60" i="3"/>
  <c r="M40" i="3"/>
  <c r="L162" i="3"/>
  <c r="L93" i="3"/>
  <c r="L103" i="3"/>
  <c r="L158" i="3"/>
  <c r="L27" i="3"/>
  <c r="M24" i="3"/>
  <c r="L21" i="3"/>
  <c r="L84" i="3"/>
  <c r="L130" i="3"/>
  <c r="J59" i="3"/>
  <c r="L151" i="3"/>
  <c r="L48" i="3"/>
  <c r="X4" i="3"/>
  <c r="X33" i="3" s="1"/>
  <c r="L85" i="3"/>
  <c r="L76" i="3"/>
  <c r="J132" i="3"/>
  <c r="J133" i="3"/>
  <c r="L39" i="3"/>
  <c r="L137" i="3"/>
  <c r="R9" i="3"/>
  <c r="R38" i="3" s="1"/>
  <c r="L146" i="3"/>
  <c r="L25" i="3"/>
  <c r="L129" i="3"/>
  <c r="J111" i="3"/>
  <c r="L98" i="3"/>
  <c r="J55" i="3"/>
  <c r="L86" i="3"/>
  <c r="J117" i="3"/>
  <c r="L82" i="3"/>
  <c r="L43" i="3"/>
  <c r="L144" i="3"/>
  <c r="L75" i="3"/>
  <c r="L83" i="3"/>
  <c r="L50" i="3"/>
  <c r="L141" i="3"/>
  <c r="L143" i="3"/>
  <c r="L67" i="3"/>
  <c r="R3" i="3"/>
  <c r="R32" i="3" s="1"/>
  <c r="L136" i="3"/>
  <c r="L44" i="3"/>
  <c r="L74" i="3"/>
  <c r="J57" i="3"/>
  <c r="M39" i="3"/>
  <c r="M87" i="3"/>
  <c r="K111" i="3"/>
  <c r="M58" i="3"/>
  <c r="M82" i="3"/>
  <c r="V7" i="3"/>
  <c r="V36" i="3" s="1"/>
  <c r="K59" i="3"/>
  <c r="M91" i="3"/>
  <c r="M137" i="3"/>
  <c r="K55" i="3"/>
  <c r="K47" i="3"/>
  <c r="K122" i="3"/>
  <c r="K113" i="3"/>
  <c r="K117" i="3"/>
  <c r="K133" i="3"/>
  <c r="I160" i="3"/>
  <c r="J35" i="3"/>
  <c r="L104" i="3"/>
  <c r="L120" i="3"/>
  <c r="L88" i="3"/>
  <c r="L64" i="3"/>
  <c r="I88" i="3"/>
  <c r="L56" i="3"/>
  <c r="L59" i="3"/>
  <c r="L61" i="3"/>
  <c r="L113" i="3"/>
  <c r="I41" i="3"/>
  <c r="L154" i="3"/>
  <c r="L157" i="3"/>
  <c r="L161" i="3"/>
  <c r="L147" i="3"/>
  <c r="L122" i="3"/>
  <c r="L96" i="3"/>
  <c r="L46" i="3"/>
  <c r="L152" i="3"/>
  <c r="L102" i="3"/>
  <c r="L159" i="3"/>
  <c r="I40" i="3"/>
  <c r="L55" i="3"/>
  <c r="L133" i="3"/>
  <c r="L57" i="3"/>
  <c r="K37" i="3"/>
  <c r="K136" i="3"/>
  <c r="M164" i="3"/>
  <c r="M107" i="3"/>
  <c r="K130" i="3"/>
  <c r="J141" i="3"/>
  <c r="K129" i="3"/>
  <c r="M106" i="3"/>
  <c r="M125" i="3"/>
  <c r="J102" i="3"/>
  <c r="M68" i="3"/>
  <c r="T10" i="3"/>
  <c r="T39" i="3" s="1"/>
  <c r="J40" i="3"/>
  <c r="K148" i="3"/>
  <c r="J24" i="3"/>
  <c r="J88" i="3"/>
  <c r="L89" i="3"/>
  <c r="I64" i="3"/>
  <c r="J84" i="3"/>
  <c r="V11" i="3"/>
  <c r="V40" i="3" s="1"/>
  <c r="J161" i="3"/>
  <c r="K101" i="3"/>
  <c r="L164" i="3"/>
  <c r="K35" i="3"/>
  <c r="K26" i="3"/>
  <c r="J41" i="3"/>
  <c r="J136" i="3"/>
  <c r="K102" i="3"/>
  <c r="K124" i="3"/>
  <c r="K140" i="3"/>
  <c r="K128" i="3"/>
  <c r="K147" i="3"/>
  <c r="K92" i="3"/>
  <c r="K54" i="3"/>
  <c r="K93" i="3"/>
  <c r="K19" i="3"/>
  <c r="K138" i="3"/>
  <c r="K159" i="3"/>
  <c r="J82" i="3"/>
  <c r="K142" i="3"/>
  <c r="K58" i="3"/>
  <c r="V10" i="3"/>
  <c r="V39" i="3" s="1"/>
  <c r="R12" i="3"/>
  <c r="R41" i="3" s="1"/>
  <c r="K141" i="3"/>
  <c r="J75" i="3"/>
  <c r="K90" i="3"/>
  <c r="L107" i="3"/>
  <c r="K151" i="3"/>
  <c r="K110" i="3"/>
  <c r="K30" i="3"/>
  <c r="K63" i="3"/>
  <c r="T3" i="3"/>
  <c r="T32" i="3" s="1"/>
  <c r="K53" i="3"/>
  <c r="J140" i="3"/>
  <c r="J138" i="3"/>
  <c r="J124" i="3"/>
  <c r="J107" i="3"/>
  <c r="L81" i="3"/>
  <c r="L77" i="3"/>
  <c r="L163" i="3"/>
  <c r="L32" i="3"/>
  <c r="L72" i="3"/>
  <c r="J101" i="3"/>
  <c r="J26" i="3"/>
  <c r="J121" i="3"/>
  <c r="L149" i="3"/>
  <c r="L148" i="3"/>
  <c r="L145" i="3"/>
  <c r="L150" i="3"/>
  <c r="X10" i="3"/>
  <c r="X39" i="3" s="1"/>
  <c r="L142" i="3"/>
  <c r="J63" i="3"/>
  <c r="K50" i="3"/>
  <c r="K76" i="3"/>
  <c r="J19" i="3"/>
  <c r="L68" i="3"/>
  <c r="M129" i="3"/>
  <c r="M76" i="3"/>
  <c r="M48" i="3"/>
  <c r="M110" i="3"/>
  <c r="M38" i="3"/>
  <c r="M86" i="3"/>
  <c r="M50" i="3"/>
  <c r="M44" i="3"/>
  <c r="L106" i="3"/>
  <c r="M42" i="3"/>
  <c r="M22" i="3"/>
  <c r="M25" i="3"/>
  <c r="M45" i="3"/>
  <c r="M126" i="3"/>
  <c r="M53" i="3"/>
  <c r="M111" i="3"/>
  <c r="M74" i="3"/>
  <c r="M136" i="3"/>
  <c r="M37" i="3"/>
  <c r="M43" i="3"/>
  <c r="M20" i="3"/>
  <c r="M113" i="3"/>
  <c r="M122" i="3"/>
  <c r="M69" i="3"/>
  <c r="M85" i="3"/>
  <c r="M30" i="3"/>
  <c r="M28" i="3"/>
  <c r="M84" i="3"/>
  <c r="M117" i="3"/>
  <c r="L108" i="3"/>
  <c r="M75" i="3"/>
  <c r="L125" i="3"/>
  <c r="M54" i="3"/>
  <c r="M92" i="3"/>
  <c r="M83" i="3"/>
  <c r="M131" i="3"/>
  <c r="M133" i="3"/>
  <c r="L109" i="3"/>
  <c r="M90" i="3"/>
  <c r="M59" i="3"/>
  <c r="M55" i="3"/>
  <c r="M132" i="3"/>
  <c r="I120" i="3"/>
  <c r="I164" i="3"/>
  <c r="I139" i="3"/>
  <c r="K40" i="3" l="1"/>
  <c r="J81" i="3"/>
  <c r="J103" i="3"/>
  <c r="K46" i="3"/>
  <c r="K121" i="3"/>
  <c r="K104" i="3"/>
  <c r="K152" i="3"/>
  <c r="K105" i="3"/>
  <c r="K144" i="3"/>
  <c r="K20" i="3"/>
  <c r="K69" i="3"/>
  <c r="K149" i="3"/>
  <c r="K158" i="3"/>
  <c r="K22" i="3"/>
  <c r="K126" i="3"/>
  <c r="K155" i="3"/>
  <c r="K71" i="3"/>
  <c r="K153" i="3"/>
  <c r="K145" i="3"/>
  <c r="K67" i="3"/>
  <c r="K154" i="3"/>
  <c r="K98" i="3"/>
  <c r="K157" i="3"/>
  <c r="K150" i="3"/>
  <c r="K70" i="3"/>
  <c r="K156" i="3"/>
  <c r="K146" i="3"/>
  <c r="K143" i="3"/>
  <c r="K65" i="3"/>
  <c r="J105" i="3"/>
  <c r="I98" i="3"/>
  <c r="Z214" i="1"/>
  <c r="M46" i="3"/>
  <c r="M63" i="3"/>
  <c r="M64" i="3"/>
  <c r="M103" i="3"/>
  <c r="M120" i="3"/>
  <c r="M102" i="3"/>
  <c r="M139" i="3"/>
  <c r="Z9" i="3"/>
  <c r="Z38" i="3" s="1"/>
  <c r="M116" i="3"/>
  <c r="M97" i="3"/>
  <c r="M27" i="3"/>
  <c r="M51" i="3"/>
  <c r="M49" i="3"/>
  <c r="Z5" i="3"/>
  <c r="Z34" i="3" s="1"/>
  <c r="M60" i="3"/>
  <c r="M32" i="3"/>
  <c r="M57" i="3"/>
  <c r="M112" i="3"/>
  <c r="M72" i="3"/>
  <c r="M118" i="3"/>
  <c r="M163" i="3"/>
  <c r="M31" i="3"/>
  <c r="M56" i="3"/>
  <c r="M34" i="3"/>
  <c r="M80" i="3"/>
  <c r="M123" i="3"/>
  <c r="M81" i="3"/>
  <c r="M119" i="3"/>
  <c r="M100" i="3"/>
  <c r="M99" i="3"/>
  <c r="M96" i="3"/>
  <c r="M61" i="3"/>
  <c r="I78" i="3"/>
  <c r="I52" i="3"/>
  <c r="I94" i="3"/>
  <c r="I127" i="3"/>
  <c r="I77" i="3"/>
  <c r="R4" i="3"/>
  <c r="R33" i="3" s="1"/>
  <c r="I162" i="3"/>
  <c r="Z229" i="1"/>
  <c r="Z206" i="1"/>
  <c r="Z226" i="1"/>
  <c r="Z213" i="1"/>
  <c r="Z225" i="1"/>
  <c r="Z203" i="1"/>
  <c r="K203" i="1" s="1"/>
  <c r="Z221" i="1"/>
  <c r="Z224" i="1"/>
  <c r="Z223" i="1"/>
  <c r="Z215" i="1"/>
  <c r="Z217" i="1"/>
  <c r="Z228" i="1"/>
  <c r="Z210" i="1"/>
  <c r="Z200" i="1"/>
  <c r="K200" i="1" s="1"/>
  <c r="Z220" i="1"/>
  <c r="Z211" i="1"/>
  <c r="Z204" i="1"/>
  <c r="K204" i="1" s="1"/>
  <c r="Z202" i="1"/>
  <c r="K202" i="1" s="1"/>
  <c r="Z201" i="1"/>
  <c r="K201" i="1" s="1"/>
  <c r="Z218" i="1"/>
  <c r="Z219" i="1"/>
  <c r="Z227" i="1"/>
  <c r="Z216" i="1"/>
  <c r="Z209" i="1"/>
  <c r="Z207" i="1"/>
  <c r="Z212" i="1"/>
  <c r="Z208" i="1"/>
  <c r="Z205" i="1"/>
  <c r="K205" i="1" s="1"/>
  <c r="Z222" i="1"/>
  <c r="I134" i="3"/>
  <c r="L24" i="3"/>
  <c r="M47" i="3"/>
  <c r="I31" i="3"/>
  <c r="I114" i="3"/>
  <c r="I51" i="3"/>
  <c r="J98" i="3"/>
  <c r="M94" i="3"/>
  <c r="M78" i="3"/>
  <c r="R5" i="3"/>
  <c r="R34" i="3" s="1"/>
  <c r="I163" i="3"/>
  <c r="I27" i="3"/>
  <c r="I62" i="3"/>
  <c r="M95" i="3"/>
  <c r="I34" i="3"/>
  <c r="I32" i="3"/>
  <c r="M162" i="3"/>
  <c r="I73" i="3"/>
  <c r="I33" i="3"/>
  <c r="I79" i="3"/>
  <c r="I72" i="3"/>
  <c r="H18" i="3"/>
  <c r="I119" i="3"/>
  <c r="J93" i="3"/>
  <c r="H193" i="3"/>
  <c r="I29" i="3"/>
  <c r="M52" i="3"/>
  <c r="I116" i="3"/>
  <c r="I36" i="3"/>
  <c r="I81" i="3"/>
  <c r="I60" i="3"/>
  <c r="I115" i="3"/>
  <c r="M127" i="3"/>
  <c r="I135" i="3"/>
  <c r="K118" i="3"/>
  <c r="J23" i="3"/>
  <c r="K123" i="3"/>
  <c r="K62" i="3"/>
  <c r="I93" i="3"/>
  <c r="K27" i="3"/>
  <c r="K72" i="3"/>
  <c r="I54" i="3"/>
  <c r="I91" i="3"/>
  <c r="I106" i="3"/>
  <c r="K57" i="3"/>
  <c r="K96" i="3"/>
  <c r="K34" i="3"/>
  <c r="I28" i="3"/>
  <c r="K56" i="3"/>
  <c r="I66" i="3"/>
  <c r="K51" i="3"/>
  <c r="M79" i="3"/>
  <c r="I108" i="3"/>
  <c r="V5" i="3"/>
  <c r="V34" i="3" s="1"/>
  <c r="K81" i="3"/>
  <c r="I104" i="3"/>
  <c r="K112" i="3"/>
  <c r="R6" i="3"/>
  <c r="R35" i="3" s="1"/>
  <c r="K31" i="3"/>
  <c r="I107" i="3"/>
  <c r="I126" i="3"/>
  <c r="I22" i="3"/>
  <c r="I109" i="3"/>
  <c r="K119" i="3"/>
  <c r="K99" i="3"/>
  <c r="M140" i="3"/>
  <c r="I53" i="3"/>
  <c r="I90" i="3"/>
  <c r="K61" i="3"/>
  <c r="K49" i="3"/>
  <c r="J87" i="3"/>
  <c r="I58" i="3"/>
  <c r="I45" i="3"/>
  <c r="K60" i="3"/>
  <c r="I20" i="3"/>
  <c r="I89" i="3"/>
  <c r="I69" i="3"/>
  <c r="K100" i="3"/>
  <c r="I125" i="3"/>
  <c r="I110" i="3"/>
  <c r="I30" i="3"/>
  <c r="AF261" i="1"/>
  <c r="AA256" i="1"/>
  <c r="AF256" i="1" s="1"/>
  <c r="AF264" i="1"/>
  <c r="H239" i="1"/>
  <c r="AF263" i="1"/>
  <c r="AF262" i="1"/>
  <c r="AF265" i="1"/>
  <c r="AF258" i="1"/>
  <c r="H266" i="1"/>
  <c r="K244" i="1"/>
  <c r="AC244" i="1" s="1"/>
  <c r="H253" i="1"/>
  <c r="K243" i="1"/>
  <c r="AC243" i="1" s="1"/>
  <c r="AI253" i="1"/>
  <c r="AD253" i="1"/>
  <c r="AL244" i="1" s="1"/>
  <c r="AF257" i="1"/>
  <c r="J151" i="3"/>
  <c r="J56" i="3"/>
  <c r="J154" i="3"/>
  <c r="J156" i="3"/>
  <c r="J157" i="3"/>
  <c r="J67" i="3"/>
  <c r="J49" i="3"/>
  <c r="J96" i="3"/>
  <c r="J31" i="3"/>
  <c r="J80" i="3"/>
  <c r="J144" i="3"/>
  <c r="J149" i="3"/>
  <c r="J143" i="3"/>
  <c r="J134" i="3"/>
  <c r="J150" i="3"/>
  <c r="J155" i="3"/>
  <c r="J128" i="3"/>
  <c r="J123" i="3"/>
  <c r="M93" i="3"/>
  <c r="J72" i="3"/>
  <c r="J114" i="3"/>
  <c r="J71" i="3"/>
  <c r="M98" i="3"/>
  <c r="J33" i="3"/>
  <c r="J29" i="3"/>
  <c r="AF259" i="1"/>
  <c r="J147" i="3"/>
  <c r="J100" i="3"/>
  <c r="J119" i="3"/>
  <c r="J97" i="3"/>
  <c r="J118" i="3"/>
  <c r="J162" i="3"/>
  <c r="J32" i="3"/>
  <c r="J135" i="3"/>
  <c r="J158" i="3"/>
  <c r="J142" i="3"/>
  <c r="J61" i="3"/>
  <c r="J116" i="3"/>
  <c r="J73" i="3"/>
  <c r="J70" i="3"/>
  <c r="J145" i="3"/>
  <c r="J47" i="3"/>
  <c r="J99" i="3"/>
  <c r="J77" i="3"/>
  <c r="M130" i="3"/>
  <c r="J146" i="3"/>
  <c r="J152" i="3"/>
  <c r="J148" i="3"/>
  <c r="J112" i="3"/>
  <c r="R10" i="3"/>
  <c r="R39" i="3" s="1"/>
  <c r="J163" i="3"/>
  <c r="J153" i="3"/>
  <c r="J159" i="3"/>
  <c r="T7" i="3"/>
  <c r="T36" i="3" s="1"/>
  <c r="J79" i="3"/>
  <c r="J115" i="3"/>
  <c r="J65" i="3"/>
  <c r="J122" i="3"/>
  <c r="J120" i="3"/>
  <c r="I95" i="3"/>
  <c r="I181" i="3"/>
  <c r="I180" i="3"/>
  <c r="I179" i="3"/>
  <c r="I178" i="3"/>
  <c r="I177" i="3"/>
  <c r="K68" i="3"/>
  <c r="K23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M89" i="3"/>
  <c r="J66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K66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M21" i="3"/>
  <c r="X8" i="3"/>
  <c r="X37" i="3" s="1"/>
  <c r="L165" i="3"/>
  <c r="L176" i="3"/>
  <c r="L175" i="3"/>
  <c r="L174" i="3"/>
  <c r="L173" i="3"/>
  <c r="L172" i="3"/>
  <c r="L169" i="3"/>
  <c r="L170" i="3"/>
  <c r="L167" i="3"/>
  <c r="L166" i="3"/>
  <c r="L168" i="3"/>
  <c r="L171" i="3"/>
  <c r="M181" i="3"/>
  <c r="M180" i="3"/>
  <c r="M179" i="3"/>
  <c r="M178" i="3"/>
  <c r="M177" i="3"/>
  <c r="M66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L51" i="3"/>
  <c r="L181" i="3"/>
  <c r="L180" i="3"/>
  <c r="L179" i="3"/>
  <c r="L178" i="3"/>
  <c r="L177" i="3"/>
  <c r="K74" i="3"/>
  <c r="K181" i="3"/>
  <c r="K180" i="3"/>
  <c r="K179" i="3"/>
  <c r="K178" i="3"/>
  <c r="K177" i="3"/>
  <c r="J62" i="3"/>
  <c r="J181" i="3"/>
  <c r="J180" i="3"/>
  <c r="J179" i="3"/>
  <c r="J178" i="3"/>
  <c r="J177" i="3"/>
  <c r="J92" i="3"/>
  <c r="J45" i="3"/>
  <c r="J126" i="3"/>
  <c r="J22" i="3"/>
  <c r="J20" i="3"/>
  <c r="J110" i="3"/>
  <c r="J54" i="3"/>
  <c r="J90" i="3"/>
  <c r="J91" i="3"/>
  <c r="T8" i="3"/>
  <c r="T37" i="3" s="1"/>
  <c r="J58" i="3"/>
  <c r="J69" i="3"/>
  <c r="J28" i="3"/>
  <c r="J30" i="3"/>
  <c r="J53" i="3"/>
  <c r="I133" i="3"/>
  <c r="I57" i="3"/>
  <c r="I123" i="3"/>
  <c r="I99" i="3"/>
  <c r="I96" i="3"/>
  <c r="I55" i="3"/>
  <c r="I111" i="3"/>
  <c r="I100" i="3"/>
  <c r="I47" i="3"/>
  <c r="I49" i="3"/>
  <c r="I118" i="3"/>
  <c r="I97" i="3"/>
  <c r="I112" i="3"/>
  <c r="I117" i="3"/>
  <c r="I113" i="3"/>
  <c r="R7" i="3"/>
  <c r="R36" i="3" s="1"/>
  <c r="I56" i="3"/>
  <c r="I132" i="3"/>
  <c r="I122" i="3"/>
  <c r="I59" i="3"/>
  <c r="I61" i="3"/>
  <c r="T5" i="3"/>
  <c r="T34" i="3" s="1"/>
  <c r="J52" i="3"/>
  <c r="J94" i="3"/>
  <c r="J34" i="3"/>
  <c r="J127" i="3"/>
  <c r="J27" i="3"/>
  <c r="J21" i="3"/>
  <c r="J51" i="3"/>
  <c r="J36" i="3"/>
  <c r="J60" i="3"/>
  <c r="J78" i="3"/>
  <c r="J95" i="3"/>
  <c r="Z268" i="1"/>
  <c r="AF260" i="1"/>
  <c r="M3" i="5"/>
  <c r="M115" i="3"/>
  <c r="K39" i="3"/>
  <c r="J83" i="3"/>
  <c r="J48" i="3"/>
  <c r="J130" i="3"/>
  <c r="J85" i="3"/>
  <c r="K48" i="3"/>
  <c r="M23" i="3"/>
  <c r="J125" i="3"/>
  <c r="K134" i="3"/>
  <c r="K29" i="3"/>
  <c r="M138" i="3"/>
  <c r="I24" i="3"/>
  <c r="J39" i="3"/>
  <c r="J37" i="3"/>
  <c r="J131" i="3"/>
  <c r="I101" i="3"/>
  <c r="M19" i="3"/>
  <c r="J108" i="3"/>
  <c r="K73" i="3"/>
  <c r="J38" i="3"/>
  <c r="K163" i="3"/>
  <c r="I140" i="3"/>
  <c r="M134" i="3"/>
  <c r="Z6" i="3"/>
  <c r="Z35" i="3" s="1"/>
  <c r="M114" i="3"/>
  <c r="K87" i="3"/>
  <c r="J164" i="3"/>
  <c r="J76" i="3"/>
  <c r="K38" i="3"/>
  <c r="K43" i="3"/>
  <c r="K75" i="3"/>
  <c r="K114" i="3"/>
  <c r="K80" i="3"/>
  <c r="I23" i="3"/>
  <c r="I19" i="3"/>
  <c r="V6" i="3"/>
  <c r="V35" i="3" s="1"/>
  <c r="J50" i="3"/>
  <c r="I138" i="3"/>
  <c r="M124" i="3"/>
  <c r="K44" i="3"/>
  <c r="J46" i="3"/>
  <c r="M135" i="3"/>
  <c r="V4" i="3"/>
  <c r="V33" i="3" s="1"/>
  <c r="K86" i="3"/>
  <c r="J139" i="3"/>
  <c r="M26" i="3"/>
  <c r="M121" i="3"/>
  <c r="M29" i="3"/>
  <c r="K131" i="3"/>
  <c r="K77" i="3"/>
  <c r="J109" i="3"/>
  <c r="J64" i="3"/>
  <c r="T12" i="3"/>
  <c r="T41" i="3" s="1"/>
  <c r="J25" i="3"/>
  <c r="K137" i="3"/>
  <c r="I121" i="3"/>
  <c r="L124" i="3"/>
  <c r="L138" i="3"/>
  <c r="M101" i="3"/>
  <c r="K83" i="3"/>
  <c r="K84" i="3"/>
  <c r="M33" i="3"/>
  <c r="K82" i="3"/>
  <c r="J44" i="3"/>
  <c r="J137" i="3"/>
  <c r="T4" i="3"/>
  <c r="T33" i="3" s="1"/>
  <c r="K115" i="3"/>
  <c r="I26" i="3"/>
  <c r="T9" i="3"/>
  <c r="T38" i="3" s="1"/>
  <c r="M77" i="3"/>
  <c r="M73" i="3"/>
  <c r="J129" i="3"/>
  <c r="I105" i="3"/>
  <c r="J43" i="3"/>
  <c r="K32" i="3"/>
  <c r="M105" i="3"/>
  <c r="K85" i="3"/>
  <c r="K25" i="3"/>
  <c r="J74" i="3"/>
  <c r="K79" i="3"/>
  <c r="J89" i="3"/>
  <c r="I63" i="3"/>
  <c r="K33" i="3"/>
  <c r="M35" i="3"/>
  <c r="K42" i="3"/>
  <c r="J86" i="3"/>
  <c r="J42" i="3"/>
  <c r="K116" i="3"/>
  <c r="K135" i="3"/>
  <c r="I124" i="3"/>
  <c r="R11" i="3"/>
  <c r="R40" i="3" s="1"/>
  <c r="J268" i="1" l="1"/>
  <c r="I268" i="1" s="1"/>
  <c r="AL247" i="1"/>
  <c r="AL246" i="1"/>
  <c r="AL248" i="1"/>
  <c r="AC253" i="1"/>
  <c r="AL251" i="1"/>
  <c r="AL245" i="1"/>
  <c r="AL250" i="1"/>
  <c r="AL243" i="1"/>
  <c r="AL252" i="1"/>
  <c r="AL249" i="1"/>
  <c r="J266" i="1"/>
  <c r="M4" i="5"/>
  <c r="A47" i="3" l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L253" i="1"/>
  <c r="M5" i="5" l="1"/>
  <c r="M6" i="5"/>
  <c r="F2" i="5" l="1"/>
  <c r="H2" i="5" s="1"/>
  <c r="M7" i="5"/>
  <c r="I2" i="5" l="1"/>
  <c r="J2" i="5"/>
  <c r="M8" i="5" l="1"/>
  <c r="M9" i="5"/>
  <c r="M10" i="5" l="1"/>
  <c r="M11" i="5"/>
  <c r="M12" i="5" l="1"/>
  <c r="O1" i="5" s="1"/>
  <c r="AA241" i="1" l="1"/>
  <c r="F9" i="5"/>
  <c r="F24" i="5"/>
  <c r="F12" i="5"/>
  <c r="F5" i="5"/>
  <c r="F21" i="5"/>
  <c r="F10" i="5"/>
  <c r="F27" i="5"/>
  <c r="F16" i="5"/>
  <c r="F23" i="5"/>
  <c r="F28" i="5"/>
  <c r="F8" i="5"/>
  <c r="F20" i="5"/>
  <c r="F17" i="5"/>
  <c r="F22" i="5"/>
  <c r="F7" i="5"/>
  <c r="F11" i="5"/>
  <c r="F14" i="5"/>
  <c r="F13" i="5"/>
  <c r="F19" i="5"/>
  <c r="F4" i="5"/>
  <c r="F26" i="5"/>
  <c r="F18" i="5"/>
  <c r="F25" i="5"/>
  <c r="F6" i="5"/>
  <c r="F15" i="5"/>
  <c r="F3" i="5"/>
  <c r="Z252" i="1" l="1"/>
  <c r="Z243" i="1"/>
  <c r="Z245" i="1"/>
  <c r="Z247" i="1"/>
  <c r="Z246" i="1"/>
  <c r="Z250" i="1"/>
  <c r="Z248" i="1"/>
  <c r="Z249" i="1"/>
  <c r="Z251" i="1"/>
  <c r="Z244" i="1"/>
  <c r="H19" i="5"/>
  <c r="I19" i="5" s="1"/>
  <c r="J19" i="5" s="1"/>
  <c r="H6" i="5"/>
  <c r="H23" i="5"/>
  <c r="I23" i="5" s="1"/>
  <c r="J23" i="5" s="1"/>
  <c r="H8" i="5"/>
  <c r="I8" i="5" s="1"/>
  <c r="H26" i="5"/>
  <c r="I26" i="5" s="1"/>
  <c r="J26" i="5" s="1"/>
  <c r="H5" i="5"/>
  <c r="H25" i="5"/>
  <c r="I25" i="5" s="1"/>
  <c r="J25" i="5" s="1"/>
  <c r="H16" i="5"/>
  <c r="I16" i="5" s="1"/>
  <c r="H10" i="5"/>
  <c r="I10" i="5" s="1"/>
  <c r="J10" i="5" s="1"/>
  <c r="H7" i="5"/>
  <c r="I7" i="5" s="1"/>
  <c r="H12" i="5"/>
  <c r="I12" i="5" s="1"/>
  <c r="H28" i="5"/>
  <c r="I28" i="5" s="1"/>
  <c r="J28" i="5" s="1"/>
  <c r="H13" i="5"/>
  <c r="I13" i="5" s="1"/>
  <c r="J13" i="5" s="1"/>
  <c r="H3" i="5"/>
  <c r="H22" i="5"/>
  <c r="I22" i="5" s="1"/>
  <c r="J22" i="5" s="1"/>
  <c r="H24" i="5"/>
  <c r="I24" i="5" s="1"/>
  <c r="J24" i="5" s="1"/>
  <c r="H20" i="5"/>
  <c r="I20" i="5" s="1"/>
  <c r="J20" i="5" s="1"/>
  <c r="H18" i="5"/>
  <c r="I18" i="5" s="1"/>
  <c r="J18" i="5" s="1"/>
  <c r="H4" i="5"/>
  <c r="I4" i="5" s="1"/>
  <c r="H27" i="5"/>
  <c r="I27" i="5" s="1"/>
  <c r="J27" i="5" s="1"/>
  <c r="H14" i="5"/>
  <c r="I14" i="5" s="1"/>
  <c r="H21" i="5"/>
  <c r="I21" i="5" s="1"/>
  <c r="J21" i="5" s="1"/>
  <c r="H11" i="5"/>
  <c r="I11" i="5" s="1"/>
  <c r="H15" i="5"/>
  <c r="H17" i="5"/>
  <c r="H9" i="5"/>
  <c r="J16" i="5" l="1"/>
  <c r="J4" i="5"/>
  <c r="J8" i="5"/>
  <c r="I5" i="5"/>
  <c r="J5" i="5" s="1"/>
  <c r="J11" i="5"/>
  <c r="I6" i="5"/>
  <c r="J6" i="5" s="1"/>
  <c r="I9" i="5"/>
  <c r="J14" i="5"/>
  <c r="I17" i="5"/>
  <c r="J17" i="5" s="1"/>
  <c r="J12" i="5"/>
  <c r="J7" i="5"/>
  <c r="I3" i="5"/>
  <c r="J3" i="5" s="1"/>
  <c r="I15" i="5"/>
  <c r="J15" i="5" s="1"/>
  <c r="J9" i="5" l="1"/>
  <c r="AA237" i="1"/>
  <c r="AF237" i="1" s="1"/>
  <c r="AA252" i="1"/>
  <c r="AF252" i="1" s="1"/>
  <c r="AA244" i="1"/>
  <c r="AF244" i="1" s="1"/>
  <c r="AA201" i="1"/>
  <c r="AF201" i="1" s="1"/>
  <c r="AA213" i="1"/>
  <c r="AF213" i="1" s="1"/>
  <c r="AA229" i="1"/>
  <c r="AF229" i="1" s="1"/>
  <c r="AA200" i="1"/>
  <c r="AF200" i="1" s="1"/>
  <c r="AA234" i="1"/>
  <c r="AF234" i="1" s="1"/>
  <c r="AA202" i="1"/>
  <c r="AF202" i="1" s="1"/>
  <c r="AA247" i="1"/>
  <c r="AF247" i="1" s="1"/>
  <c r="AA204" i="1"/>
  <c r="AF204" i="1" s="1"/>
  <c r="AA231" i="1"/>
  <c r="AF231" i="1" s="1"/>
  <c r="AA232" i="1"/>
  <c r="AF232" i="1" s="1"/>
  <c r="AA250" i="1"/>
  <c r="AF250" i="1" s="1"/>
  <c r="AA228" i="1"/>
  <c r="AF228" i="1" s="1"/>
  <c r="AA218" i="1"/>
  <c r="AF218" i="1" s="1"/>
  <c r="AA219" i="1"/>
  <c r="AF219" i="1" s="1"/>
  <c r="AA224" i="1"/>
  <c r="AF224" i="1" s="1"/>
  <c r="AA223" i="1"/>
  <c r="AF223" i="1" s="1"/>
  <c r="AA206" i="1"/>
  <c r="AF206" i="1" s="1"/>
  <c r="AA238" i="1"/>
  <c r="AF238" i="1" s="1"/>
  <c r="AA216" i="1"/>
  <c r="AF216" i="1" s="1"/>
  <c r="AA205" i="1"/>
  <c r="AF205" i="1" s="1"/>
  <c r="AA217" i="1"/>
  <c r="AF217" i="1" s="1"/>
  <c r="AA233" i="1"/>
  <c r="AF233" i="1" s="1"/>
  <c r="AA249" i="1"/>
  <c r="AF249" i="1" s="1"/>
  <c r="AA220" i="1"/>
  <c r="AF220" i="1" s="1"/>
  <c r="AA208" i="1"/>
  <c r="AF208" i="1" s="1"/>
  <c r="AA246" i="1"/>
  <c r="AF246" i="1" s="1"/>
  <c r="AA212" i="1"/>
  <c r="AF212" i="1" s="1"/>
  <c r="AA207" i="1"/>
  <c r="AF207" i="1" s="1"/>
  <c r="AA251" i="1"/>
  <c r="AF251" i="1" s="1"/>
  <c r="AA209" i="1"/>
  <c r="AF209" i="1" s="1"/>
  <c r="AA203" i="1"/>
  <c r="AF203" i="1" s="1"/>
  <c r="AA221" i="1"/>
  <c r="AF221" i="1" s="1"/>
  <c r="AA248" i="1"/>
  <c r="AF248" i="1" s="1"/>
  <c r="AA227" i="1"/>
  <c r="AF227" i="1" s="1"/>
  <c r="AA225" i="1"/>
  <c r="AF225" i="1" s="1"/>
  <c r="AA210" i="1"/>
  <c r="AF210" i="1" s="1"/>
  <c r="AA245" i="1"/>
  <c r="AF245" i="1" s="1"/>
  <c r="AA236" i="1"/>
  <c r="AF236" i="1" s="1"/>
  <c r="AA215" i="1"/>
  <c r="AF215" i="1" s="1"/>
  <c r="AA222" i="1"/>
  <c r="AF222" i="1" s="1"/>
  <c r="AA214" i="1"/>
  <c r="AF214" i="1" s="1"/>
  <c r="AA235" i="1"/>
  <c r="AF235" i="1" s="1"/>
  <c r="AA211" i="1"/>
  <c r="AF211" i="1" s="1"/>
  <c r="AA226" i="1"/>
  <c r="AF226" i="1" s="1"/>
  <c r="AA243" i="1"/>
  <c r="AF243" i="1" s="1"/>
  <c r="J239" i="1" l="1"/>
  <c r="AF253" i="1"/>
  <c r="J253" i="1" s="1"/>
  <c r="J27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Vivo</author>
  </authors>
  <commentList>
    <comment ref="A242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мин.высота</t>
        </r>
        <r>
          <rPr>
            <b/>
            <sz val="9"/>
            <color indexed="81"/>
            <rFont val="Tahoma"/>
            <family val="2"/>
            <charset val="204"/>
          </rPr>
          <t xml:space="preserve"> 50мм
</t>
        </r>
        <r>
          <rPr>
            <sz val="9"/>
            <color indexed="81"/>
            <rFont val="Tahoma"/>
            <family val="2"/>
            <charset val="204"/>
          </rPr>
          <t>мак.высота</t>
        </r>
        <r>
          <rPr>
            <b/>
            <sz val="9"/>
            <color indexed="81"/>
            <rFont val="Tahoma"/>
            <family val="2"/>
            <charset val="204"/>
          </rPr>
          <t xml:space="preserve"> 960мм
</t>
        </r>
        <r>
          <rPr>
            <b/>
            <u/>
            <sz val="9"/>
            <color indexed="12"/>
            <rFont val="Tahoma"/>
            <family val="2"/>
            <charset val="204"/>
          </rPr>
          <t xml:space="preserve">ширина фасада: 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>R200,300,700,1000</t>
        </r>
        <r>
          <rPr>
            <b/>
            <sz val="9"/>
            <color indexed="81"/>
            <rFont val="Tahoma"/>
            <family val="2"/>
            <charset val="204"/>
          </rPr>
          <t xml:space="preserve"> = 538мм
</t>
        </r>
        <r>
          <rPr>
            <sz val="9"/>
            <color indexed="81"/>
            <rFont val="Tahoma"/>
            <family val="2"/>
            <charset val="204"/>
          </rPr>
          <t>R400</t>
        </r>
        <r>
          <rPr>
            <b/>
            <sz val="9"/>
            <color indexed="81"/>
            <rFont val="Tahoma"/>
            <family val="2"/>
            <charset val="204"/>
          </rPr>
          <t xml:space="preserve"> = 690мм
</t>
        </r>
        <r>
          <rPr>
            <sz val="9"/>
            <color indexed="81"/>
            <rFont val="Tahoma"/>
            <family val="2"/>
            <charset val="204"/>
          </rPr>
          <t>S-240</t>
        </r>
        <r>
          <rPr>
            <b/>
            <sz val="9"/>
            <color indexed="81"/>
            <rFont val="Tahoma"/>
            <family val="2"/>
            <charset val="204"/>
          </rPr>
          <t xml:space="preserve"> = 560мм</t>
        </r>
      </text>
    </comment>
  </commentList>
</comments>
</file>

<file path=xl/sharedStrings.xml><?xml version="1.0" encoding="utf-8"?>
<sst xmlns="http://schemas.openxmlformats.org/spreadsheetml/2006/main" count="950" uniqueCount="690">
  <si>
    <t>№ дет.</t>
  </si>
  <si>
    <t>Ширина мм</t>
  </si>
  <si>
    <t>Телефон:</t>
  </si>
  <si>
    <t>шт</t>
  </si>
  <si>
    <t>Да</t>
  </si>
  <si>
    <t>Цена</t>
  </si>
  <si>
    <t>0094 Каштан патина</t>
  </si>
  <si>
    <t>0074 Каштан</t>
  </si>
  <si>
    <t>0081 Дуб антик</t>
  </si>
  <si>
    <t>0104 Груша пастель</t>
  </si>
  <si>
    <t>0135 Лайн грин</t>
  </si>
  <si>
    <t>Цена Пленки</t>
  </si>
  <si>
    <t>Группа</t>
  </si>
  <si>
    <t>---</t>
  </si>
  <si>
    <t>Милан</t>
  </si>
  <si>
    <t>Авиньон</t>
  </si>
  <si>
    <t>Барселона</t>
  </si>
  <si>
    <t>Болонья</t>
  </si>
  <si>
    <t>Бостон</t>
  </si>
  <si>
    <t>Бристоль</t>
  </si>
  <si>
    <t>Глазго</t>
  </si>
  <si>
    <t>Женева</t>
  </si>
  <si>
    <t>Амстердам</t>
  </si>
  <si>
    <t>Марсель</t>
  </si>
  <si>
    <t>Бремен</t>
  </si>
  <si>
    <t>Лондон</t>
  </si>
  <si>
    <t>Мюнхен</t>
  </si>
  <si>
    <t>Равенна</t>
  </si>
  <si>
    <t>Честер</t>
  </si>
  <si>
    <t>Нарвик</t>
  </si>
  <si>
    <t>Орлеан</t>
  </si>
  <si>
    <t>Стокгольм</t>
  </si>
  <si>
    <t>Петергоф</t>
  </si>
  <si>
    <t>Париж</t>
  </si>
  <si>
    <t>нет</t>
  </si>
  <si>
    <t>D</t>
  </si>
  <si>
    <t>M</t>
  </si>
  <si>
    <t>S</t>
  </si>
  <si>
    <t xml:space="preserve"> </t>
  </si>
  <si>
    <t>пленка+толш</t>
  </si>
  <si>
    <t>Патина</t>
  </si>
  <si>
    <t>Фрезеровка</t>
  </si>
  <si>
    <t>B</t>
  </si>
  <si>
    <t>E</t>
  </si>
  <si>
    <t>G</t>
  </si>
  <si>
    <t>R10</t>
  </si>
  <si>
    <t>R2</t>
  </si>
  <si>
    <t>R25</t>
  </si>
  <si>
    <t>без</t>
  </si>
  <si>
    <t>Арка ГН</t>
  </si>
  <si>
    <t>Арка ВОГН</t>
  </si>
  <si>
    <t>Болонья ГН</t>
  </si>
  <si>
    <t>Болонья ВОГН</t>
  </si>
  <si>
    <t>Бостон ГН</t>
  </si>
  <si>
    <t>Бостон ВОГН</t>
  </si>
  <si>
    <t>Бристоль ГН</t>
  </si>
  <si>
    <t>Бристоль ВОГН</t>
  </si>
  <si>
    <t>Дуга ГН</t>
  </si>
  <si>
    <t>Дуга ВОГН</t>
  </si>
  <si>
    <t>Дуга массив ГН</t>
  </si>
  <si>
    <t>Дуга массив ВОГН</t>
  </si>
  <si>
    <t>Лондон ГН</t>
  </si>
  <si>
    <t>Лондон ВОГН</t>
  </si>
  <si>
    <t>Париж ГН</t>
  </si>
  <si>
    <t>Париж ВОГН</t>
  </si>
  <si>
    <t>Петергоф ГН</t>
  </si>
  <si>
    <t>Петергоф ВОГН</t>
  </si>
  <si>
    <t>Прага 140 ГН</t>
  </si>
  <si>
    <t>Прага 140 ВОГН</t>
  </si>
  <si>
    <t>Прага 70 ГН</t>
  </si>
  <si>
    <t>Прага 70 ВОГН</t>
  </si>
  <si>
    <t>Решетка ГН</t>
  </si>
  <si>
    <t>Решетка ВОГН</t>
  </si>
  <si>
    <t>Румба ГН</t>
  </si>
  <si>
    <t>Румба ВОГН</t>
  </si>
  <si>
    <t>Севилья ГН</t>
  </si>
  <si>
    <t>Севилья ВОГН</t>
  </si>
  <si>
    <t>Стокгольм ГН</t>
  </si>
  <si>
    <t>Стокгольм ВОГН</t>
  </si>
  <si>
    <t>Техно ГН</t>
  </si>
  <si>
    <t>Техно ВОГН</t>
  </si>
  <si>
    <t>Турин ГН</t>
  </si>
  <si>
    <t>Турин ВОГН</t>
  </si>
  <si>
    <t>Арка</t>
  </si>
  <si>
    <t>Дуга</t>
  </si>
  <si>
    <t>Дуга массив</t>
  </si>
  <si>
    <t>Модерн</t>
  </si>
  <si>
    <t>Румба</t>
  </si>
  <si>
    <t>Техно</t>
  </si>
  <si>
    <t>доп.прогр</t>
  </si>
  <si>
    <t>Высота гнутых</t>
  </si>
  <si>
    <t>R300</t>
  </si>
  <si>
    <t>кв.м.</t>
  </si>
  <si>
    <t>дек.планка Колонна</t>
  </si>
  <si>
    <t>дек.планка Модерн</t>
  </si>
  <si>
    <t>дек.планка Орлеан</t>
  </si>
  <si>
    <t>дек.планка Париж</t>
  </si>
  <si>
    <t>дек.планка Рим</t>
  </si>
  <si>
    <t>дек.планка Флора</t>
  </si>
  <si>
    <t>нестанд.высота</t>
  </si>
  <si>
    <t>Площ.</t>
  </si>
  <si>
    <t>Сумма</t>
  </si>
  <si>
    <t>Простая</t>
  </si>
  <si>
    <t>Сложная</t>
  </si>
  <si>
    <t>Сложность</t>
  </si>
  <si>
    <t>проверка радиуса</t>
  </si>
  <si>
    <t>10 (2ст)</t>
  </si>
  <si>
    <t>16 (2ст)</t>
  </si>
  <si>
    <t>19 (2ст)</t>
  </si>
  <si>
    <t>30 (2ст)</t>
  </si>
  <si>
    <t>38 (2ст)</t>
  </si>
  <si>
    <t>Цвет решетки - Дуб</t>
  </si>
  <si>
    <t>Цвет решетки - Ольха</t>
  </si>
  <si>
    <t>Цвет решетки - Орех</t>
  </si>
  <si>
    <t>Цвет решетки - Яблоня</t>
  </si>
  <si>
    <t>0146 (H) Дуб Сан-Ремо рустикаль</t>
  </si>
  <si>
    <t>Скрыть пустые строки</t>
  </si>
  <si>
    <t>0038 (H) Орех россо</t>
  </si>
  <si>
    <t>0050 (H) Вишня Портленд мокко</t>
  </si>
  <si>
    <t>0065 (H) Лиственница Тауэрн латте</t>
  </si>
  <si>
    <t>0096 Квазар перламутр</t>
  </si>
  <si>
    <t>0300 (A) Топаз супермат</t>
  </si>
  <si>
    <t>0305 (А) Лайм супермат</t>
  </si>
  <si>
    <t>0318 (A) Дуб мерсей</t>
  </si>
  <si>
    <t>дек.планка Позитано</t>
  </si>
  <si>
    <t>new</t>
  </si>
  <si>
    <t>дек.планка Латина</t>
  </si>
  <si>
    <t>дек.планка Модена</t>
  </si>
  <si>
    <t>Колонна 1</t>
  </si>
  <si>
    <t>Колонна 2</t>
  </si>
  <si>
    <t>дек.накладка Орлеан</t>
  </si>
  <si>
    <t>дек.накладка Марсель</t>
  </si>
  <si>
    <t>дек.накладка Тулон</t>
  </si>
  <si>
    <t>дек.накладка Верона</t>
  </si>
  <si>
    <t>дек.накладка Соната 1</t>
  </si>
  <si>
    <t>дек.накладка Соната 2</t>
  </si>
  <si>
    <t>дек.накладка Соната 3</t>
  </si>
  <si>
    <t>дек.накладка Рондо 1</t>
  </si>
  <si>
    <t>дек.накладка Рондо 2</t>
  </si>
  <si>
    <t>Стен.панель Кайзер</t>
  </si>
  <si>
    <t>Прага 70</t>
  </si>
  <si>
    <t>Прага 140</t>
  </si>
  <si>
    <t>Кельн 51</t>
  </si>
  <si>
    <t>Кельн 71</t>
  </si>
  <si>
    <t>грей</t>
  </si>
  <si>
    <t>золото</t>
  </si>
  <si>
    <t>коричневое</t>
  </si>
  <si>
    <t>красное золото</t>
  </si>
  <si>
    <t>красно-коричневое</t>
  </si>
  <si>
    <t>медь</t>
  </si>
  <si>
    <t>св.орех</t>
  </si>
  <si>
    <t>серебро</t>
  </si>
  <si>
    <t>черное</t>
  </si>
  <si>
    <t>грей (пл. №34,25)</t>
  </si>
  <si>
    <t>коричневое (пл. №34,25)</t>
  </si>
  <si>
    <t>красно-коричневое (пл. №34,25)</t>
  </si>
  <si>
    <t>св.орех (пл. №34,25)</t>
  </si>
  <si>
    <t>черное (пл. №34,25)</t>
  </si>
  <si>
    <t>лак Глянец</t>
  </si>
  <si>
    <t>лак Матовый</t>
  </si>
  <si>
    <t>карниз Монтана R гн (h38)</t>
  </si>
  <si>
    <t>карниз Монтана R вогн (h38)</t>
  </si>
  <si>
    <t>свет.планка Родос 2м.п. (h60)</t>
  </si>
  <si>
    <t>свет.планка Сиена 2м.п. (h60)</t>
  </si>
  <si>
    <t>фриз Родос 2м.п. (h100)</t>
  </si>
  <si>
    <t>гранат</t>
  </si>
  <si>
    <t>джинс</t>
  </si>
  <si>
    <t>гранат (пл. №34,25)</t>
  </si>
  <si>
    <t>джинс (пл. №34,25)</t>
  </si>
  <si>
    <t>олива</t>
  </si>
  <si>
    <t>олива темная</t>
  </si>
  <si>
    <t>олива (пл. №34,25)</t>
  </si>
  <si>
    <t>олива темная (пл. №34,25)</t>
  </si>
  <si>
    <t>топленое молоко</t>
  </si>
  <si>
    <t>топленое молоко (пл. №34,25)</t>
  </si>
  <si>
    <t>Тулон</t>
  </si>
  <si>
    <t>Тулон ГН</t>
  </si>
  <si>
    <t>Тулон ВОГН</t>
  </si>
  <si>
    <t>Di Portes</t>
  </si>
  <si>
    <t>Савона</t>
  </si>
  <si>
    <t>R200</t>
  </si>
  <si>
    <t>R400</t>
  </si>
  <si>
    <t>R700(1)</t>
  </si>
  <si>
    <t>R1000(1)</t>
  </si>
  <si>
    <t>S-240</t>
  </si>
  <si>
    <t>R700(2)</t>
  </si>
  <si>
    <t>R1000(2)</t>
  </si>
  <si>
    <t>карниз Прованс 2м.п. (h57)</t>
  </si>
  <si>
    <t>карниз Прованс R вогн (h57)</t>
  </si>
  <si>
    <t>карниз Прованс R гн (h57)</t>
  </si>
  <si>
    <t>свет.планка Прованс 2м.п (h60)</t>
  </si>
  <si>
    <t>Грати (квадрат)</t>
  </si>
  <si>
    <t>Грати (ромб)</t>
  </si>
  <si>
    <t>Грати</t>
  </si>
  <si>
    <t>0401 Винтаж</t>
  </si>
  <si>
    <t>Цвет решетки - Кальвадос</t>
  </si>
  <si>
    <t>Цвет решетки - Махонь</t>
  </si>
  <si>
    <t>0433 Сосна прованс</t>
  </si>
  <si>
    <t>0438 Вишня портофино</t>
  </si>
  <si>
    <t>0427 Софт крем</t>
  </si>
  <si>
    <t>СофтТач</t>
  </si>
  <si>
    <t>Ширина гнутых</t>
  </si>
  <si>
    <t>Проверка ширины</t>
  </si>
  <si>
    <t>Болонья S-обр</t>
  </si>
  <si>
    <t>Петергоф S-обр</t>
  </si>
  <si>
    <t>Севилья S-обр</t>
  </si>
  <si>
    <t>Стокгольм S-обр</t>
  </si>
  <si>
    <t>Прверка на мин.квадратуру заказа</t>
  </si>
  <si>
    <t>дек.накладка Петергоф</t>
  </si>
  <si>
    <t>Адель</t>
  </si>
  <si>
    <t>Монако</t>
  </si>
  <si>
    <t>Тенея</t>
  </si>
  <si>
    <t>0508 Дуб капучино</t>
  </si>
  <si>
    <t>0509 Дуб синий</t>
  </si>
  <si>
    <t>new 2017</t>
  </si>
  <si>
    <t>Анже</t>
  </si>
  <si>
    <t>Петра</t>
  </si>
  <si>
    <t>дек.планка Адель</t>
  </si>
  <si>
    <t>дек.планка Анже</t>
  </si>
  <si>
    <t>дек.планка Довиль</t>
  </si>
  <si>
    <t>Адель ГН</t>
  </si>
  <si>
    <t>Анже ГН</t>
  </si>
  <si>
    <t>Арка S-обр</t>
  </si>
  <si>
    <t>Бостон S-обр</t>
  </si>
  <si>
    <t>Бремен ГН</t>
  </si>
  <si>
    <t>Бристоль S-обр</t>
  </si>
  <si>
    <t>Дублин ГН</t>
  </si>
  <si>
    <t>Дуга S-обр</t>
  </si>
  <si>
    <t>Дуга массив S-обр</t>
  </si>
  <si>
    <t>Лондон S-обр</t>
  </si>
  <si>
    <t>Монако S-обр</t>
  </si>
  <si>
    <t>Монако ГН</t>
  </si>
  <si>
    <t>Париж S-обр</t>
  </si>
  <si>
    <t>Петра S-обр</t>
  </si>
  <si>
    <t>Петра ГН</t>
  </si>
  <si>
    <t>Прага 70 S-обр</t>
  </si>
  <si>
    <t>Прага 140 S-обр</t>
  </si>
  <si>
    <t>Равенна ГН</t>
  </si>
  <si>
    <t>Решетка S-обр</t>
  </si>
  <si>
    <t>Римини ГН</t>
  </si>
  <si>
    <t>Тенея S-обр</t>
  </si>
  <si>
    <t>Тенея ГН</t>
  </si>
  <si>
    <t>Техно S-обр</t>
  </si>
  <si>
    <t>Тулон S-обр</t>
  </si>
  <si>
    <t>Турин S-обр</t>
  </si>
  <si>
    <t>Барселона ГН</t>
  </si>
  <si>
    <t>спец</t>
  </si>
  <si>
    <t>эскиз</t>
  </si>
  <si>
    <t>Женева ГН</t>
  </si>
  <si>
    <t>Барселона ВОГН (витрина)</t>
  </si>
  <si>
    <t>Женева ВОГН (витрина)</t>
  </si>
  <si>
    <t>Монако ВОГН (витрина)</t>
  </si>
  <si>
    <t>Тенея ВОГН (витрина)</t>
  </si>
  <si>
    <t>Дублин ВОГН</t>
  </si>
  <si>
    <t>Площ. Детали менее</t>
  </si>
  <si>
    <t>цена доплаты менее 0,5м.кв.</t>
  </si>
  <si>
    <t>свет.планка Бари 2м.п. (h60)</t>
  </si>
  <si>
    <t>свет.планка Прато 2м.п. (h60)</t>
  </si>
  <si>
    <t>свет.планка Толедо 2м.п. (h60)</t>
  </si>
  <si>
    <t>свет.планка Триест 2м.п. (h60)</t>
  </si>
  <si>
    <t>фриз Дамаск 2м.п. (h100)</t>
  </si>
  <si>
    <t>фриз Комо 2м.п. (h60)</t>
  </si>
  <si>
    <t>фриз Парма 2м.п. (h60)</t>
  </si>
  <si>
    <t>фриз Фано 2м.п. (h100)</t>
  </si>
  <si>
    <t>Анкона +Р</t>
  </si>
  <si>
    <t>new 2018</t>
  </si>
  <si>
    <t>Беладжио</t>
  </si>
  <si>
    <t>Бергамо</t>
  </si>
  <si>
    <t>Бергамо ГН</t>
  </si>
  <si>
    <t>Виченца</t>
  </si>
  <si>
    <t>Тартона +Р</t>
  </si>
  <si>
    <t>Доп.стоим фрезеровки</t>
  </si>
  <si>
    <t>грн/шт</t>
  </si>
  <si>
    <t>Доп. Грн/шт</t>
  </si>
  <si>
    <t>Ограничение по пленкам</t>
  </si>
  <si>
    <t>не патинируется</t>
  </si>
  <si>
    <t>Цвет в бланке</t>
  </si>
  <si>
    <t>Фрезерование</t>
  </si>
  <si>
    <t>Гауда</t>
  </si>
  <si>
    <t>new 2019</t>
  </si>
  <si>
    <t>Грас</t>
  </si>
  <si>
    <t>Ельче</t>
  </si>
  <si>
    <t>Монс</t>
  </si>
  <si>
    <t>Тулуза</t>
  </si>
  <si>
    <t>Ельче S-обр</t>
  </si>
  <si>
    <t>Ельче ВОГН</t>
  </si>
  <si>
    <t>Ельче ГН</t>
  </si>
  <si>
    <t>0612 Дуб Крафт бронза</t>
  </si>
  <si>
    <t>Цвет ПВХ</t>
  </si>
  <si>
    <t>0701 (H) Перламутр ультра</t>
  </si>
  <si>
    <t>0702 (H) Оксид бьянко</t>
  </si>
  <si>
    <t>0705 (H) Бордо шагрень</t>
  </si>
  <si>
    <t>0708 (A) Кируна медь</t>
  </si>
  <si>
    <t>0731 (A) Нобелла вайт</t>
  </si>
  <si>
    <t>0732 (A) Нобелла силк</t>
  </si>
  <si>
    <t>0733 (A) Нобелла шифон</t>
  </si>
  <si>
    <t>Патина 25, 34</t>
  </si>
  <si>
    <t>Брунико</t>
  </si>
  <si>
    <t>new 2020</t>
  </si>
  <si>
    <t>Пезаро</t>
  </si>
  <si>
    <t>Пескара</t>
  </si>
  <si>
    <t>Тренто</t>
  </si>
  <si>
    <t>Пезаро ГН</t>
  </si>
  <si>
    <t>проверка 25,34</t>
  </si>
  <si>
    <t>P-0801 (A) Нобелла петра</t>
  </si>
  <si>
    <t>P-0802 (A) Нобелла американа</t>
  </si>
  <si>
    <t>карниз Вена 2м.п. (h68)</t>
  </si>
  <si>
    <t>гнутые</t>
  </si>
  <si>
    <t>(н)</t>
  </si>
  <si>
    <t>Альба</t>
  </si>
  <si>
    <t>Старый прайс</t>
  </si>
  <si>
    <t>Новый прайс</t>
  </si>
  <si>
    <t>0821 Сніжно-білий (мат)</t>
  </si>
  <si>
    <t>0822 Кремовий (мат)</t>
  </si>
  <si>
    <t>0824 Канадський Сірий (мат)</t>
  </si>
  <si>
    <t>0825 Гальковий (мат)</t>
  </si>
  <si>
    <t>0826 Сірий теплий (мат)</t>
  </si>
  <si>
    <t>0827 Зелена шавлія (мат)</t>
  </si>
  <si>
    <t>0828 Темно Зелений (мат)</t>
  </si>
  <si>
    <t>0829 Селадон (мат)</t>
  </si>
  <si>
    <t>0830 Синій Океан (мат)</t>
  </si>
  <si>
    <t>0831 Графіт Сірий (мат)</t>
  </si>
  <si>
    <t>0832 Сієна (мат)</t>
  </si>
  <si>
    <t>0835 Кашемір глянець</t>
  </si>
  <si>
    <t>0836 Крем глянець</t>
  </si>
  <si>
    <t>0837 Сірий глянець</t>
  </si>
  <si>
    <t>0838 Граніт глянець</t>
  </si>
  <si>
    <t>0841 Дуб Грандсон</t>
  </si>
  <si>
    <t>(плівка)</t>
  </si>
  <si>
    <t>Постачальник:</t>
  </si>
  <si>
    <t>Замовник:</t>
  </si>
  <si>
    <t>Патинування:</t>
  </si>
  <si>
    <t>Колір плівки:</t>
  </si>
  <si>
    <t>Висота мм</t>
  </si>
  <si>
    <t>Віт-рина</t>
  </si>
  <si>
    <t>Малюнок</t>
  </si>
  <si>
    <t>Проф. мал.</t>
  </si>
  <si>
    <t>Торець</t>
  </si>
  <si>
    <t>Дет.по кресл.</t>
  </si>
  <si>
    <t>Примітки</t>
  </si>
  <si>
    <t>Коментар до замовлення</t>
  </si>
  <si>
    <t>Термін виготовлення:</t>
  </si>
  <si>
    <t>ПРЯМІ</t>
  </si>
  <si>
    <t>товщина:</t>
  </si>
  <si>
    <t>Кіл-ть</t>
  </si>
  <si>
    <t>Всього:</t>
  </si>
  <si>
    <t>площа МДФ (м2):</t>
  </si>
  <si>
    <t>Сума:</t>
  </si>
  <si>
    <t>РАДІУСНІ</t>
  </si>
  <si>
    <t>Декоративні елементи</t>
  </si>
  <si>
    <t>Од.вим.</t>
  </si>
  <si>
    <t>Радіус</t>
  </si>
  <si>
    <t>ВСЬОГО</t>
  </si>
  <si>
    <t>від</t>
  </si>
  <si>
    <t>0023 (H) Дуб Сан-Ремо натуральний</t>
  </si>
  <si>
    <t>0025 (А) Білий матовий</t>
  </si>
  <si>
    <t>0030 Вудлайн білий</t>
  </si>
  <si>
    <t>0034 (A) Матовий крем</t>
  </si>
  <si>
    <t>0040 Горіх</t>
  </si>
  <si>
    <t>0042 Дуб натуральний</t>
  </si>
  <si>
    <t>0054 Білий глянець</t>
  </si>
  <si>
    <t>0311 (A) Білий лотос</t>
  </si>
  <si>
    <t>0431 Білий супермат</t>
  </si>
  <si>
    <t>0601 Білий браш</t>
  </si>
  <si>
    <t>0603 (A) Ясень Білий</t>
  </si>
  <si>
    <t>0604 Дуб Крафт Білий</t>
  </si>
  <si>
    <t>0650 Білий софт</t>
  </si>
  <si>
    <t>0703 (H) Мрамор Білий</t>
  </si>
  <si>
    <t>Цвет решетки - Білий</t>
  </si>
  <si>
    <t>0060 Лимон глянець</t>
  </si>
  <si>
    <t>0062 Гранат глянець</t>
  </si>
  <si>
    <t>0063 Оранж глянець</t>
  </si>
  <si>
    <t>0064 Карамель глянець</t>
  </si>
  <si>
    <t>0128 Мокко глянець</t>
  </si>
  <si>
    <t>0134 Лайм глянець</t>
  </si>
  <si>
    <t>0309 Жасмин глянець</t>
  </si>
  <si>
    <t>0563 Білий перламутр глянець</t>
  </si>
  <si>
    <t>0564 Сахара глянець</t>
  </si>
  <si>
    <t>0569 Олива глянець</t>
  </si>
  <si>
    <t>0069 Черний глянець</t>
  </si>
  <si>
    <t>0095 Ясень жемчужний</t>
  </si>
  <si>
    <t>0314 (A) Янтарний дуб</t>
  </si>
  <si>
    <t>0422 Дуб песочний</t>
  </si>
  <si>
    <t>0429 (V) Дуб пепельний</t>
  </si>
  <si>
    <t>0568 Зелений глянець</t>
  </si>
  <si>
    <t>E522 (V) Дуб шоколадний</t>
  </si>
  <si>
    <t>0811 Молочний сатин</t>
  </si>
  <si>
    <t>Цвет решетки - Орех темний</t>
  </si>
  <si>
    <t>0070 Яблоня темна</t>
  </si>
  <si>
    <t>0115 Лаванда жемчужна</t>
  </si>
  <si>
    <t>0504 Структура кремова</t>
  </si>
  <si>
    <t>0512 (I) Сосна темна</t>
  </si>
  <si>
    <t>E583 (V) Слонова кость глянець</t>
  </si>
  <si>
    <t>0722 (I) Бежева структура</t>
  </si>
  <si>
    <t>Цвет решетки - Карпатска ель</t>
  </si>
  <si>
    <t>0058 Коричневий глянець</t>
  </si>
  <si>
    <t>0147 (H) Дуб Сантана известковий</t>
  </si>
  <si>
    <t>0506 Дуб фарфоровий</t>
  </si>
  <si>
    <t>0507 (A) Ясень бежевий</t>
  </si>
  <si>
    <t>Цвет решетки - Кремовий</t>
  </si>
  <si>
    <t>0402 Дуб Магнолія</t>
  </si>
  <si>
    <t>0436 Акація</t>
  </si>
  <si>
    <t>0505 Дуб Венеція</t>
  </si>
  <si>
    <t>0561 Фуксія супермат</t>
  </si>
  <si>
    <t>0057 Білий металик</t>
  </si>
  <si>
    <t>0073 Шовк</t>
  </si>
  <si>
    <t>0075 Горіх темний</t>
  </si>
  <si>
    <t>0076 Біла структура</t>
  </si>
  <si>
    <t>0079 Тикове дерево</t>
  </si>
  <si>
    <t>0419 Старе дерево</t>
  </si>
  <si>
    <t>0077 Карпатска ялина</t>
  </si>
  <si>
    <t>0084 Алюміній глянець</t>
  </si>
  <si>
    <t>0111 Червоний глянець</t>
  </si>
  <si>
    <t>0129 Блакитний глянець</t>
  </si>
  <si>
    <t>0059 Бордо металік</t>
  </si>
  <si>
    <t>0121 Золотий металік</t>
  </si>
  <si>
    <t>0122 Розовий металік</t>
  </si>
  <si>
    <t>0125 Алюміній металік</t>
  </si>
  <si>
    <t>0130 Антрацит металік</t>
  </si>
  <si>
    <t>0451 (V) Марс металік глянець</t>
  </si>
  <si>
    <t>0452 (V) Крем брюле металік глянець</t>
  </si>
  <si>
    <t>0453 (V) Лайм металік глянець</t>
  </si>
  <si>
    <t>0132 Ліловий зоряний металік</t>
  </si>
  <si>
    <t>0140 Віолетта глянець</t>
  </si>
  <si>
    <t xml:space="preserve">0302 (A) Сірий камень </t>
  </si>
  <si>
    <t>0408 Дуб золотий</t>
  </si>
  <si>
    <t>0425 Сонома світла</t>
  </si>
  <si>
    <t>0428 Супер мат Мілк</t>
  </si>
  <si>
    <t>0430 Ваніль супермат</t>
  </si>
  <si>
    <t>E582 (V) Ваніль сатин</t>
  </si>
  <si>
    <t>0651 Ваніль софт</t>
  </si>
  <si>
    <t>0437 Дуб английський</t>
  </si>
  <si>
    <t>E580 (H) Білий альпийський супермат</t>
  </si>
  <si>
    <t>0812 Канадський дуб Плато</t>
  </si>
  <si>
    <t>0441 Венге пвденне</t>
  </si>
  <si>
    <t>0455 (V) Сірий металік глянець</t>
  </si>
  <si>
    <t>0553 Песочний Сірий софт</t>
  </si>
  <si>
    <t>0565 Сірий жемчуг глянець</t>
  </si>
  <si>
    <t>0573 Сірий гранит глянець</t>
  </si>
  <si>
    <t>E585 (H) Сірий арктичеський супермат</t>
  </si>
  <si>
    <t>0657 Бетон Сірий</t>
  </si>
  <si>
    <t>0501 (I) Біле дерево</t>
  </si>
  <si>
    <t>0511 (I) Ольха Новара Біла</t>
  </si>
  <si>
    <t>Цвет решетки - Біле дерево</t>
  </si>
  <si>
    <t>0503 Структура Білосніжна</t>
  </si>
  <si>
    <t>0411 Горіх Світлий</t>
  </si>
  <si>
    <t>0514 (A) Ясень Світло-Сірий</t>
  </si>
  <si>
    <t>0515 (A) Бетон Світло-Сірий</t>
  </si>
  <si>
    <t>0554 Світлий какао софт</t>
  </si>
  <si>
    <t>0823 Сірий Світлий (мат)</t>
  </si>
  <si>
    <t>0555 Каталонський жовтий софт</t>
  </si>
  <si>
    <t>0558 Балі зелений софт</t>
  </si>
  <si>
    <t>0567 Фісташка глянець</t>
  </si>
  <si>
    <t>E520 (V) Дуб сіежний</t>
  </si>
  <si>
    <t>E531 (H) Інтра торфяной</t>
  </si>
  <si>
    <t>E588 Елегантний Сірий софт</t>
  </si>
  <si>
    <t>E589 (A) Матовий графіт</t>
  </si>
  <si>
    <t>0658 Бетон графіт</t>
  </si>
  <si>
    <t>0609 Дуб Крафт золотий</t>
  </si>
  <si>
    <t>0652 Глянець Білоснежний</t>
  </si>
  <si>
    <t>0721 (A) Вибілена структура</t>
  </si>
  <si>
    <t>0723 (A) Світло-сіра структура</t>
  </si>
  <si>
    <t>0727 (A) Оникс сіра структура</t>
  </si>
  <si>
    <t>0552 (H) кашемір супермат</t>
  </si>
  <si>
    <t>0724 (A) Кашемір структура</t>
  </si>
  <si>
    <t>0725 (I) Арктична сіра структура</t>
  </si>
  <si>
    <t>0726 (I) Віолет структура</t>
  </si>
  <si>
    <t>0728 (A) Графіт структура</t>
  </si>
  <si>
    <t>P-0803 (A) Феріа Данц</t>
  </si>
  <si>
    <t>P-0804 (A) Феріа Сандей Стролл</t>
  </si>
  <si>
    <t>P-0805 (A) Феріа Брэсс Бенд</t>
  </si>
  <si>
    <t>P-0806 (A) Феріа Найт Оул</t>
  </si>
  <si>
    <t>0810 Білосніжний супермат</t>
  </si>
  <si>
    <t>0813 Графіт глянець</t>
  </si>
  <si>
    <t>0814 Темний Хакі софт</t>
  </si>
  <si>
    <t>Фрезерування</t>
  </si>
  <si>
    <t>0085 (H) Пино Аурелио ізвестковий</t>
  </si>
  <si>
    <t>Бланк замовлення</t>
  </si>
  <si>
    <t>Амальфі</t>
  </si>
  <si>
    <t>Арка подвійна</t>
  </si>
  <si>
    <t>Афіни</t>
  </si>
  <si>
    <t>Пляшниця</t>
  </si>
  <si>
    <t>Бремен (без декору)</t>
  </si>
  <si>
    <t>Валенсія</t>
  </si>
  <si>
    <t>свет.планка Афіни 2м.п. (h60)</t>
  </si>
  <si>
    <t>Афіни S-обр</t>
  </si>
  <si>
    <t>Афіни ВОГН</t>
  </si>
  <si>
    <t>Афіни ГН</t>
  </si>
  <si>
    <t>фриз Афіни 2м.п. (h100)</t>
  </si>
  <si>
    <t>дек.накладка Олімпія</t>
  </si>
  <si>
    <t>дек.накладка Ріан</t>
  </si>
  <si>
    <t>дек.накладка Софія</t>
  </si>
  <si>
    <t>дек.планка Венеція</t>
  </si>
  <si>
    <t>дек.планка Класік</t>
  </si>
  <si>
    <t>дек.планка Ріан</t>
  </si>
  <si>
    <t>дек.планка Универсальна</t>
  </si>
  <si>
    <t>Дербі</t>
  </si>
  <si>
    <t>Довіль</t>
  </si>
  <si>
    <t>Дублін</t>
  </si>
  <si>
    <t>Дуга подвійна</t>
  </si>
  <si>
    <t>Дует (лівий)</t>
  </si>
  <si>
    <t>Прямие</t>
  </si>
  <si>
    <t>Гнутие</t>
  </si>
  <si>
    <t>Карнизи</t>
  </si>
  <si>
    <t>Версаль (правий)</t>
  </si>
  <si>
    <t>Версаль S-обр (правий)</t>
  </si>
  <si>
    <t>Версаль ВОГН (правий)</t>
  </si>
  <si>
    <t>Версаль ГН (правий)</t>
  </si>
  <si>
    <t>Кантри (правий)</t>
  </si>
  <si>
    <t>Санторини S-обр (правий)</t>
  </si>
  <si>
    <t>Санторини ВОГН (правий)</t>
  </si>
  <si>
    <t>Санторини ГН (правий)</t>
  </si>
  <si>
    <t>Троя (правий)</t>
  </si>
  <si>
    <t>Троя ВОГН (правий)</t>
  </si>
  <si>
    <t>Троя ГН (правий)</t>
  </si>
  <si>
    <t>Фортуна (правий)</t>
  </si>
  <si>
    <t>Фортуна S-обр (правий)</t>
  </si>
  <si>
    <t>Фортуна ВОГН (правий)</t>
  </si>
  <si>
    <t>Фортуна ГН (правий)</t>
  </si>
  <si>
    <t>дек.накладка Афіни</t>
  </si>
  <si>
    <t>Версаль (лівий)</t>
  </si>
  <si>
    <t>Версаль S-обр (лівий)</t>
  </si>
  <si>
    <t>Версаль ВОГН (лівий)</t>
  </si>
  <si>
    <t>Версаль ГН (лівий)</t>
  </si>
  <si>
    <t>Кантрі (лівий)</t>
  </si>
  <si>
    <t>Санторини S-обр (лівий)</t>
  </si>
  <si>
    <t>Санторини ВОГН (лівий)</t>
  </si>
  <si>
    <t>Санторини ГН (лівий)</t>
  </si>
  <si>
    <t>Троя (лівий)</t>
  </si>
  <si>
    <t>Троя ВОГН (лівий)</t>
  </si>
  <si>
    <t>Троя ГН (лівий)</t>
  </si>
  <si>
    <t>Фортуна (лівий)</t>
  </si>
  <si>
    <t>Фортуна S-обр (лівий)</t>
  </si>
  <si>
    <t>Фортуна ВОГН (лівий)</t>
  </si>
  <si>
    <t>Фортуна ГН (лівий)</t>
  </si>
  <si>
    <t>Класік 51</t>
  </si>
  <si>
    <t>Класік 71</t>
  </si>
  <si>
    <t>Краків</t>
  </si>
  <si>
    <t>Лабіринт</t>
  </si>
  <si>
    <t>Ліверпуль</t>
  </si>
  <si>
    <t>Ліворно</t>
  </si>
  <si>
    <t>Лілль</t>
  </si>
  <si>
    <t>Лілія</t>
  </si>
  <si>
    <t>Луіза</t>
  </si>
  <si>
    <t>Маестро</t>
  </si>
  <si>
    <t>Мелікано</t>
  </si>
  <si>
    <t>Монті</t>
  </si>
  <si>
    <t>Наполі</t>
  </si>
  <si>
    <t>Бремен (без декору) ГН</t>
  </si>
  <si>
    <t>Грас (без декору)</t>
  </si>
  <si>
    <t>Нарвик (без декору)</t>
  </si>
  <si>
    <t>Ніцца</t>
  </si>
  <si>
    <t>Ольвія</t>
  </si>
  <si>
    <t>Онікс</t>
  </si>
  <si>
    <t>Орлеан (без малюнку)</t>
  </si>
  <si>
    <t>Павія +Р</t>
  </si>
  <si>
    <t>Портофіно</t>
  </si>
  <si>
    <t>Прямий</t>
  </si>
  <si>
    <t>Решітка</t>
  </si>
  <si>
    <t>Ріан</t>
  </si>
  <si>
    <t>Ріволі</t>
  </si>
  <si>
    <t>Ріміні</t>
  </si>
  <si>
    <t>Санторіні (лівий)</t>
  </si>
  <si>
    <t>Санторіні (правий)</t>
  </si>
  <si>
    <t>Севілья</t>
  </si>
  <si>
    <t>Софія</t>
  </si>
  <si>
    <t>Стен.панель Комбрі</t>
  </si>
  <si>
    <t>карниз Британія 2м.п. (h96) (без кубиков)</t>
  </si>
  <si>
    <t>свет.планка Британія 2м.п. (h50)</t>
  </si>
  <si>
    <t>фриз Левадія 2м.п. (h180)</t>
  </si>
  <si>
    <t>Валенсія S-обр</t>
  </si>
  <si>
    <t>Валенсія ВОГН</t>
  </si>
  <si>
    <t>Валенсія ГН</t>
  </si>
  <si>
    <t>Лилія S-обр</t>
  </si>
  <si>
    <t>Лилія ВОГН</t>
  </si>
  <si>
    <t>Лилія ГН</t>
  </si>
  <si>
    <t>Ольвія S-обр</t>
  </si>
  <si>
    <t>Ольвія ВОГН</t>
  </si>
  <si>
    <t>Ольвія ГН</t>
  </si>
  <si>
    <t>Стен.панель Левадія</t>
  </si>
  <si>
    <t>Софія S-обр</t>
  </si>
  <si>
    <t>Софія ВОГН</t>
  </si>
  <si>
    <t>Софія ГН</t>
  </si>
  <si>
    <t>Флоренція</t>
  </si>
  <si>
    <t>Флоренція S-обр</t>
  </si>
  <si>
    <t>Флоренція ВОГН</t>
  </si>
  <si>
    <t>Флоренція ГН</t>
  </si>
  <si>
    <t>ДуЕт S-обр (лівий)</t>
  </si>
  <si>
    <t>ДуЕт S-обр (правий)</t>
  </si>
  <si>
    <t>ДуЕт ВОГН (лівий)</t>
  </si>
  <si>
    <t>ДуЕт ВОГН (правий)</t>
  </si>
  <si>
    <t>ДуЕт ГН (лівий)</t>
  </si>
  <si>
    <t>ДуЕт ГН (правий)</t>
  </si>
  <si>
    <t>ДуЕт (правий)</t>
  </si>
  <si>
    <t>МаЕстро S-обр</t>
  </si>
  <si>
    <t>МаЕстро ВОГН</t>
  </si>
  <si>
    <t>МаЕстро ГН</t>
  </si>
  <si>
    <t>Стен.панель Ельба</t>
  </si>
  <si>
    <t>Тель-Авів</t>
  </si>
  <si>
    <t>Турін</t>
  </si>
  <si>
    <t>Фігурний Болонья (лівий)</t>
  </si>
  <si>
    <t>Фігурний Болонья (правий)</t>
  </si>
  <si>
    <t>Фігурний Валенсія (лівий)</t>
  </si>
  <si>
    <t>Фігурний Валенсія (правий)</t>
  </si>
  <si>
    <t>Фігурний Марсель (лівий)</t>
  </si>
  <si>
    <t>Фігурний Марсель (правий)</t>
  </si>
  <si>
    <t>Фігурний Севилья (лівий)</t>
  </si>
  <si>
    <t>Фігурний Севилья (правий)</t>
  </si>
  <si>
    <t>Фігурний Софія (лівий)</t>
  </si>
  <si>
    <t>Фігурний Софія (правий)</t>
  </si>
  <si>
    <t>Фігурний Тулон (лівий)</t>
  </si>
  <si>
    <t>Фігурний Тулон (правий)</t>
  </si>
  <si>
    <t>Авіньон S-обр</t>
  </si>
  <si>
    <t>Авіньон ВОГН</t>
  </si>
  <si>
    <t>Авіньон ГН</t>
  </si>
  <si>
    <t>Амальфі S-обр</t>
  </si>
  <si>
    <t>Амальфі ГН</t>
  </si>
  <si>
    <t>Арка подвійна S-обр</t>
  </si>
  <si>
    <t>Арка подвійна ВОГН</t>
  </si>
  <si>
    <t>Арка подвійна ГН</t>
  </si>
  <si>
    <t>Дуга подвійна S-обр</t>
  </si>
  <si>
    <t>Дуга подвійна ГН</t>
  </si>
  <si>
    <t>Дербі ВОГН</t>
  </si>
  <si>
    <t>Дербі ГН</t>
  </si>
  <si>
    <t>Довіль S-обр</t>
  </si>
  <si>
    <t>Довіль ВОГН</t>
  </si>
  <si>
    <t>Довіль ГН</t>
  </si>
  <si>
    <t>Дуга подвійна ВОГН</t>
  </si>
  <si>
    <t>Кантрі S-обр (лівий)</t>
  </si>
  <si>
    <t>Кантрі S-обр (правий)</t>
  </si>
  <si>
    <t>Кантрі ВОГН (лівий)</t>
  </si>
  <si>
    <t>Кантрі ВОГН (правий)</t>
  </si>
  <si>
    <t>Кантрі ГН (лівий)</t>
  </si>
  <si>
    <t>Кантрі ГН (правий)</t>
  </si>
  <si>
    <t>Краків S-обр</t>
  </si>
  <si>
    <t>Краків ВОГН (витрина)</t>
  </si>
  <si>
    <t>Краків ГН</t>
  </si>
  <si>
    <t>Ліверпуль ВОГН</t>
  </si>
  <si>
    <t>Ліверпуль ГН</t>
  </si>
  <si>
    <t>Ліворно ГН</t>
  </si>
  <si>
    <t>Луіза S-обр</t>
  </si>
  <si>
    <t>Луіза ВОГН</t>
  </si>
  <si>
    <t>Луіза ГН</t>
  </si>
  <si>
    <t>Монті ГН</t>
  </si>
  <si>
    <t>Наполі S-обр</t>
  </si>
  <si>
    <t>Наполі ВОГН</t>
  </si>
  <si>
    <t>Наполі ГН</t>
  </si>
  <si>
    <t>Ніцца ГН</t>
  </si>
  <si>
    <t>Ніцца ВОГН (витрина)</t>
  </si>
  <si>
    <t>Онікс S-обр</t>
  </si>
  <si>
    <t>Онікс ВОГН</t>
  </si>
  <si>
    <t>Онікс ГН</t>
  </si>
  <si>
    <t>Прямий S-обр</t>
  </si>
  <si>
    <t>Прямий ВОГН</t>
  </si>
  <si>
    <t>Прямий ГН</t>
  </si>
  <si>
    <t>карниз Класичниий 2м.п. (h38)</t>
  </si>
  <si>
    <t>карниз Класичниий R вогн (h38)</t>
  </si>
  <si>
    <t>карниз Класичниий R гн (h38)</t>
  </si>
  <si>
    <t>Балюстрада верхня 0,7</t>
  </si>
  <si>
    <t>Балюстрада нижня 0,7</t>
  </si>
  <si>
    <t>Балюстрада верхня 1,0</t>
  </si>
  <si>
    <t>Балюстрада нижня 1,0</t>
  </si>
  <si>
    <t>Балюстрада верхня 1,4</t>
  </si>
  <si>
    <t>Балюстрада нижня 1,4</t>
  </si>
  <si>
    <t>Балюстрада верхня R гн</t>
  </si>
  <si>
    <t>Балюстрада нижня R гн</t>
  </si>
  <si>
    <t>Балюстрада верхня R вогн</t>
  </si>
  <si>
    <t>Балюстрада нижня R вогн</t>
  </si>
  <si>
    <t>Углова меб.планка 0,72м.п.</t>
  </si>
  <si>
    <t>Профіль под скриту ручку 2м.п.</t>
  </si>
  <si>
    <t>Радіусний фасад 16 гн (F800 тип2)</t>
  </si>
  <si>
    <t>Радіусний фасад 19 гн (F800 тип2)</t>
  </si>
  <si>
    <t>** 0653 Капучино глянець</t>
  </si>
  <si>
    <t>Рекомендації щодо роботи з бланком замовлення</t>
  </si>
  <si>
    <t>1. Бланк замовлення дозволяє розрахувати роздрібну суму замовлення на фарбовані фасади МДФ, згідно з прайс-листом.</t>
  </si>
  <si>
    <t>2. Перед початком роботи рекомендується заповнити поле "Замовник", "Телефон" та зробити резервну копію бланка.</t>
  </si>
  <si>
    <t>3. При збереженні бланка замовлення з даними на замовлення, ім'я файлу має містити Замовника та №замовлення</t>
  </si>
  <si>
    <t>Приклад: Іванов №1432.xls</t>
  </si>
  <si>
    <t>4. Внесення даних до бланку замовлення здійснюється у полях виділених кольором:</t>
  </si>
  <si>
    <t xml:space="preserve"> - поля для внесення даних у ручну</t>
  </si>
  <si>
    <t xml:space="preserve"> - поля, дані в яких вибираються зі списку можливих значень</t>
  </si>
  <si>
    <t>5. Після внесення всіх вихідних даних на замовлення, можна приховати порожні комірки.</t>
  </si>
  <si>
    <t>Щоб відобразилися всі комірки, у меню автофільтра вибрати (Всі)</t>
  </si>
  <si>
    <t>У комірці L198, у меню автофільтра вибрати "Приховати порожні рядки"</t>
  </si>
  <si>
    <t>Вегас</t>
  </si>
  <si>
    <t>Саванна</t>
  </si>
  <si>
    <t>Ланс (без ромбів)</t>
  </si>
  <si>
    <t>-</t>
  </si>
  <si>
    <t>карниз Монтана 2м.п. (h38)</t>
  </si>
  <si>
    <t>Прайс-лист від 13.10.25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</si>
</sst>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0.0"/>
    <numFmt numFmtId="165" formatCode="_-* #,##0\ _₽_-;\-* #,##0\ _₽_-;_-* &quot;-&quot;??\ _₽_-;_-@_-"/>
    <numFmt numFmtId="166" formatCode="[$-FC22]d\ mmmm\ yyyy&quot; р.&quot;;@"/>
  </numFmts>
  <fonts count="3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b/>
      <sz val="12"/>
      <name val="Arial Cyr"/>
      <charset val="204"/>
    </font>
    <font>
      <sz val="10"/>
      <color indexed="10"/>
      <name val="Arial Cyr"/>
      <charset val="204"/>
    </font>
    <font>
      <b/>
      <sz val="10"/>
      <color indexed="10"/>
      <name val="Arial Cyr"/>
      <charset val="204"/>
    </font>
    <font>
      <sz val="10"/>
      <color indexed="22"/>
      <name val="Arial Cyr"/>
      <charset val="204"/>
    </font>
    <font>
      <b/>
      <sz val="10"/>
      <color indexed="22"/>
      <name val="Arial Cyr"/>
      <charset val="204"/>
    </font>
    <font>
      <sz val="8"/>
      <color indexed="22"/>
      <name val="Arial Cyr"/>
      <charset val="204"/>
    </font>
    <font>
      <b/>
      <sz val="8"/>
      <color indexed="22"/>
      <name val="Arial Cyr"/>
      <charset val="204"/>
    </font>
    <font>
      <b/>
      <sz val="10"/>
      <color indexed="12"/>
      <name val="Arial Cyr"/>
      <charset val="204"/>
    </font>
    <font>
      <sz val="8"/>
      <color indexed="9"/>
      <name val="Arial Cyr"/>
      <charset val="204"/>
    </font>
    <font>
      <b/>
      <sz val="8"/>
      <color indexed="10"/>
      <name val="Arial Cyr"/>
      <charset val="204"/>
    </font>
    <font>
      <i/>
      <sz val="8"/>
      <color indexed="12"/>
      <name val="Arial Cyr"/>
      <charset val="204"/>
    </font>
    <font>
      <b/>
      <sz val="10"/>
      <color indexed="9"/>
      <name val="Arial Cyr"/>
      <charset val="204"/>
    </font>
    <font>
      <sz val="10"/>
      <color indexed="12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indexed="9"/>
      <name val="Arial Cyr"/>
      <charset val="204"/>
    </font>
    <font>
      <b/>
      <u/>
      <sz val="9"/>
      <color indexed="12"/>
      <name val="Tahoma"/>
      <family val="2"/>
      <charset val="204"/>
    </font>
    <font>
      <i/>
      <sz val="10"/>
      <color indexed="10"/>
      <name val="Arial Cyr"/>
      <charset val="204"/>
    </font>
    <font>
      <sz val="8"/>
      <color indexed="10"/>
      <name val="Arial Cyr"/>
      <charset val="204"/>
    </font>
    <font>
      <sz val="10"/>
      <color indexed="22"/>
      <name val="Arial Cyr"/>
      <charset val="204"/>
    </font>
    <font>
      <sz val="10"/>
      <color rgb="FFFF0000"/>
      <name val="Arial Cyr"/>
      <charset val="204"/>
    </font>
    <font>
      <sz val="10"/>
      <color theme="0" tint="-0.34998626667073579"/>
      <name val="Arial Cyr"/>
      <charset val="204"/>
    </font>
    <font>
      <sz val="10"/>
      <color rgb="FF0000FF"/>
      <name val="Arial Cyr"/>
      <charset val="204"/>
    </font>
    <font>
      <sz val="10"/>
      <color theme="2" tint="-9.9978637043366805E-2"/>
      <name val="Arial Cyr"/>
      <charset val="204"/>
    </font>
    <font>
      <b/>
      <sz val="10"/>
      <color rgb="FFFF0000"/>
      <name val="Arial Cyr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43" fontId="6" fillId="0" borderId="9" xfId="0" applyNumberFormat="1" applyFont="1" applyBorder="1"/>
    <xf numFmtId="0" fontId="2" fillId="2" borderId="0" xfId="0" applyFont="1" applyFill="1"/>
    <xf numFmtId="43" fontId="0" fillId="0" borderId="0" xfId="1" applyFont="1"/>
    <xf numFmtId="0" fontId="0" fillId="0" borderId="0" xfId="0" quotePrefix="1"/>
    <xf numFmtId="0" fontId="0" fillId="3" borderId="0" xfId="0" applyFill="1"/>
    <xf numFmtId="0" fontId="6" fillId="0" borderId="0" xfId="0" applyFont="1" applyAlignment="1">
      <alignment horizontal="right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3" xfId="0" applyFont="1" applyFill="1" applyBorder="1" applyAlignment="1" applyProtection="1">
      <alignment horizontal="center" vertical="center"/>
      <protection locked="0"/>
    </xf>
    <xf numFmtId="0" fontId="5" fillId="4" borderId="14" xfId="0" applyFont="1" applyFill="1" applyBorder="1" applyAlignment="1" applyProtection="1">
      <alignment vertical="center"/>
      <protection locked="0"/>
    </xf>
    <xf numFmtId="0" fontId="5" fillId="4" borderId="15" xfId="0" applyFont="1" applyFill="1" applyBorder="1" applyAlignment="1" applyProtection="1">
      <alignment vertical="center"/>
      <protection locked="0"/>
    </xf>
    <xf numFmtId="0" fontId="5" fillId="4" borderId="16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1" fillId="0" borderId="8" xfId="0" applyFont="1" applyFill="1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0" fillId="0" borderId="8" xfId="0" applyBorder="1" applyAlignment="1" applyProtection="1">
      <alignment horizontal="right" vertical="center"/>
      <protection hidden="1"/>
    </xf>
    <xf numFmtId="2" fontId="2" fillId="0" borderId="3" xfId="0" applyNumberFormat="1" applyFont="1" applyBorder="1" applyAlignment="1" applyProtection="1">
      <alignment horizontal="center" vertical="center"/>
      <protection hidden="1"/>
    </xf>
    <xf numFmtId="43" fontId="2" fillId="0" borderId="3" xfId="1" applyFont="1" applyBorder="1" applyAlignment="1" applyProtection="1">
      <alignment vertical="center"/>
      <protection hidden="1"/>
    </xf>
    <xf numFmtId="0" fontId="1" fillId="0" borderId="3" xfId="0" applyFont="1" applyFill="1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right" vertical="center"/>
      <protection hidden="1"/>
    </xf>
    <xf numFmtId="2" fontId="2" fillId="0" borderId="2" xfId="0" applyNumberFormat="1" applyFont="1" applyFill="1" applyBorder="1" applyAlignment="1" applyProtection="1">
      <alignment horizontal="center" vertical="center"/>
      <protection hidden="1"/>
    </xf>
    <xf numFmtId="165" fontId="5" fillId="4" borderId="11" xfId="1" applyNumberFormat="1" applyFont="1" applyFill="1" applyBorder="1" applyAlignment="1" applyProtection="1">
      <alignment horizontal="left" vertical="center"/>
      <protection locked="0"/>
    </xf>
    <xf numFmtId="0" fontId="7" fillId="3" borderId="0" xfId="0" applyFont="1" applyFill="1"/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vertical="center"/>
      <protection locked="0"/>
    </xf>
    <xf numFmtId="0" fontId="5" fillId="0" borderId="19" xfId="0" applyFont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43" fontId="2" fillId="0" borderId="3" xfId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9" fillId="0" borderId="0" xfId="0" applyFont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165" fontId="3" fillId="0" borderId="0" xfId="1" applyNumberFormat="1" applyFont="1" applyProtection="1">
      <protection hidden="1"/>
    </xf>
    <xf numFmtId="165" fontId="11" fillId="0" borderId="0" xfId="1" applyNumberFormat="1" applyFont="1" applyProtection="1">
      <protection hidden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Alignment="1">
      <alignment horizontal="left" vertical="center"/>
    </xf>
    <xf numFmtId="0" fontId="7" fillId="0" borderId="0" xfId="0" applyFont="1"/>
    <xf numFmtId="165" fontId="11" fillId="0" borderId="0" xfId="1" applyNumberFormat="1" applyFont="1" applyAlignment="1" applyProtection="1">
      <alignment vertical="center"/>
      <protection hidden="1"/>
    </xf>
    <xf numFmtId="0" fontId="0" fillId="0" borderId="8" xfId="0" applyBorder="1" applyAlignment="1">
      <alignment horizontal="center" vertical="center"/>
    </xf>
    <xf numFmtId="0" fontId="0" fillId="2" borderId="0" xfId="0" applyFill="1" applyAlignment="1">
      <alignment horizontal="center"/>
    </xf>
    <xf numFmtId="43" fontId="9" fillId="0" borderId="0" xfId="1" applyFont="1" applyProtection="1">
      <protection hidden="1"/>
    </xf>
    <xf numFmtId="0" fontId="10" fillId="0" borderId="0" xfId="0" applyFont="1" applyAlignment="1" applyProtection="1">
      <alignment vertical="center"/>
      <protection hidden="1"/>
    </xf>
    <xf numFmtId="43" fontId="10" fillId="0" borderId="0" xfId="1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43" fontId="9" fillId="0" borderId="0" xfId="1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43" fontId="11" fillId="0" borderId="0" xfId="1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43" fontId="12" fillId="0" borderId="0" xfId="1" applyFont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43" fontId="10" fillId="0" borderId="0" xfId="1" applyFont="1" applyProtection="1">
      <protection hidden="1"/>
    </xf>
    <xf numFmtId="165" fontId="15" fillId="5" borderId="2" xfId="1" applyNumberFormat="1" applyFont="1" applyFill="1" applyBorder="1" applyAlignment="1" applyProtection="1">
      <alignment horizontal="center" vertical="center" wrapText="1"/>
      <protection hidden="1"/>
    </xf>
    <xf numFmtId="165" fontId="11" fillId="0" borderId="0" xfId="1" applyNumberFormat="1" applyFont="1" applyFill="1" applyProtection="1">
      <protection hidden="1"/>
    </xf>
    <xf numFmtId="165" fontId="11" fillId="0" borderId="0" xfId="1" applyNumberFormat="1" applyFont="1" applyFill="1" applyAlignment="1" applyProtection="1">
      <alignment vertical="center"/>
      <protection hidden="1"/>
    </xf>
    <xf numFmtId="165" fontId="15" fillId="0" borderId="0" xfId="1" applyNumberFormat="1" applyFont="1" applyFill="1" applyBorder="1" applyAlignment="1" applyProtection="1">
      <alignment horizontal="center" vertical="center" wrapText="1"/>
      <protection hidden="1"/>
    </xf>
    <xf numFmtId="165" fontId="14" fillId="0" borderId="0" xfId="1" applyNumberFormat="1" applyFont="1" applyFill="1" applyAlignment="1" applyProtection="1">
      <alignment vertical="center"/>
      <protection hidden="1"/>
    </xf>
    <xf numFmtId="165" fontId="14" fillId="0" borderId="0" xfId="1" applyNumberFormat="1" applyFont="1" applyFill="1" applyAlignment="1" applyProtection="1">
      <alignment horizontal="center" vertical="center" wrapText="1"/>
      <protection hidden="1"/>
    </xf>
    <xf numFmtId="0" fontId="9" fillId="3" borderId="0" xfId="0" applyFont="1" applyFill="1" applyProtection="1">
      <protection hidden="1"/>
    </xf>
    <xf numFmtId="165" fontId="14" fillId="0" borderId="0" xfId="1" applyNumberFormat="1" applyFont="1" applyAlignment="1" applyProtection="1">
      <alignment horizontal="left" vertical="center"/>
      <protection hidden="1"/>
    </xf>
    <xf numFmtId="165" fontId="14" fillId="0" borderId="0" xfId="1" applyNumberFormat="1" applyFont="1" applyAlignment="1" applyProtection="1">
      <alignment horizontal="left" vertical="center" wrapText="1"/>
      <protection hidden="1"/>
    </xf>
    <xf numFmtId="165" fontId="14" fillId="0" borderId="0" xfId="1" applyNumberFormat="1" applyFont="1" applyProtection="1">
      <protection hidden="1"/>
    </xf>
    <xf numFmtId="0" fontId="5" fillId="6" borderId="17" xfId="0" applyFont="1" applyFill="1" applyBorder="1" applyAlignment="1" applyProtection="1">
      <alignment horizontal="center" vertical="center"/>
      <protection locked="0"/>
    </xf>
    <xf numFmtId="0" fontId="5" fillId="6" borderId="20" xfId="0" applyFont="1" applyFill="1" applyBorder="1" applyAlignment="1" applyProtection="1">
      <alignment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3" fillId="6" borderId="20" xfId="0" applyFont="1" applyFill="1" applyBorder="1" applyAlignment="1" applyProtection="1">
      <alignment vertical="center"/>
      <protection locked="0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5" fillId="6" borderId="21" xfId="0" applyFont="1" applyFill="1" applyBorder="1" applyAlignment="1" applyProtection="1">
      <alignment vertical="center"/>
      <protection locked="0"/>
    </xf>
    <xf numFmtId="0" fontId="5" fillId="6" borderId="22" xfId="0" applyFont="1" applyFill="1" applyBorder="1" applyAlignment="1" applyProtection="1">
      <alignment vertical="center"/>
      <protection locked="0"/>
    </xf>
    <xf numFmtId="0" fontId="5" fillId="6" borderId="10" xfId="0" applyFont="1" applyFill="1" applyBorder="1" applyAlignment="1" applyProtection="1">
      <alignment horizontal="center" vertical="center"/>
      <protection locked="0"/>
    </xf>
    <xf numFmtId="0" fontId="3" fillId="6" borderId="21" xfId="0" applyFont="1" applyFill="1" applyBorder="1" applyAlignment="1" applyProtection="1">
      <alignment vertical="center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0" fontId="5" fillId="6" borderId="21" xfId="0" applyFont="1" applyFill="1" applyBorder="1" applyAlignment="1" applyProtection="1">
      <alignment horizontal="center" vertical="center"/>
      <protection locked="0"/>
    </xf>
    <xf numFmtId="0" fontId="5" fillId="6" borderId="23" xfId="0" applyFont="1" applyFill="1" applyBorder="1" applyAlignment="1" applyProtection="1">
      <alignment horizontal="center" vertical="center"/>
      <protection locked="0"/>
    </xf>
    <xf numFmtId="0" fontId="5" fillId="6" borderId="24" xfId="0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16" fillId="0" borderId="0" xfId="0" applyFont="1" applyAlignment="1" applyProtection="1">
      <alignment horizontal="right"/>
      <protection hidden="1"/>
    </xf>
    <xf numFmtId="0" fontId="5" fillId="6" borderId="25" xfId="0" applyFont="1" applyFill="1" applyBorder="1" applyAlignment="1" applyProtection="1">
      <alignment horizontal="center" vertical="center"/>
      <protection locked="0"/>
    </xf>
    <xf numFmtId="0" fontId="5" fillId="6" borderId="22" xfId="0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0" fontId="1" fillId="0" borderId="0" xfId="0" applyFont="1"/>
    <xf numFmtId="0" fontId="0" fillId="0" borderId="1" xfId="0" applyBorder="1"/>
    <xf numFmtId="0" fontId="0" fillId="0" borderId="8" xfId="0" applyBorder="1"/>
    <xf numFmtId="0" fontId="0" fillId="0" borderId="3" xfId="0" applyBorder="1"/>
    <xf numFmtId="164" fontId="5" fillId="4" borderId="26" xfId="0" applyNumberFormat="1" applyFont="1" applyFill="1" applyBorder="1" applyAlignment="1" applyProtection="1">
      <alignment horizontal="center" vertical="center"/>
      <protection locked="0"/>
    </xf>
    <xf numFmtId="164" fontId="5" fillId="4" borderId="10" xfId="0" applyNumberFormat="1" applyFont="1" applyFill="1" applyBorder="1" applyAlignment="1" applyProtection="1">
      <alignment horizontal="center" vertical="center"/>
      <protection locked="0"/>
    </xf>
    <xf numFmtId="164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horizontal="center" vertical="center"/>
    </xf>
    <xf numFmtId="164" fontId="5" fillId="4" borderId="28" xfId="0" applyNumberFormat="1" applyFont="1" applyFill="1" applyBorder="1" applyAlignment="1" applyProtection="1">
      <alignment horizontal="center" vertical="center"/>
      <protection locked="0"/>
    </xf>
    <xf numFmtId="0" fontId="5" fillId="6" borderId="29" xfId="0" applyFont="1" applyFill="1" applyBorder="1" applyAlignment="1" applyProtection="1">
      <alignment horizontal="center" vertical="center"/>
      <protection locked="0"/>
    </xf>
    <xf numFmtId="0" fontId="5" fillId="4" borderId="30" xfId="0" applyFont="1" applyFill="1" applyBorder="1" applyAlignment="1" applyProtection="1">
      <alignment vertical="center"/>
      <protection locked="0"/>
    </xf>
    <xf numFmtId="0" fontId="18" fillId="0" borderId="0" xfId="0" applyFont="1"/>
    <xf numFmtId="0" fontId="9" fillId="0" borderId="0" xfId="0" applyFont="1" applyFill="1" applyProtection="1">
      <protection hidden="1"/>
    </xf>
    <xf numFmtId="0" fontId="9" fillId="0" borderId="0" xfId="0" applyFont="1" applyFill="1" applyAlignment="1" applyProtection="1">
      <alignment horizontal="center"/>
      <protection hidden="1"/>
    </xf>
    <xf numFmtId="0" fontId="5" fillId="0" borderId="31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vertical="center"/>
      <protection hidden="1"/>
    </xf>
    <xf numFmtId="0" fontId="1" fillId="0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Alignment="1">
      <alignment horizontal="right"/>
    </xf>
    <xf numFmtId="0" fontId="7" fillId="0" borderId="0" xfId="0" applyFont="1" applyFill="1"/>
    <xf numFmtId="0" fontId="1" fillId="3" borderId="0" xfId="0" applyFont="1" applyFill="1"/>
    <xf numFmtId="0" fontId="7" fillId="3" borderId="0" xfId="0" applyFont="1" applyFill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43" fontId="23" fillId="0" borderId="0" xfId="1" applyFont="1" applyAlignment="1" applyProtection="1">
      <alignment horizontal="right"/>
      <protection hidden="1"/>
    </xf>
    <xf numFmtId="43" fontId="8" fillId="0" borderId="0" xfId="1" applyFont="1"/>
    <xf numFmtId="0" fontId="7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Protection="1">
      <protection hidden="1"/>
    </xf>
    <xf numFmtId="0" fontId="1" fillId="7" borderId="0" xfId="0" applyFont="1" applyFill="1"/>
    <xf numFmtId="0" fontId="0" fillId="8" borderId="2" xfId="0" applyFill="1" applyBorder="1"/>
    <xf numFmtId="0" fontId="0" fillId="0" borderId="0" xfId="0" applyFont="1" applyFill="1"/>
    <xf numFmtId="0" fontId="0" fillId="0" borderId="0" xfId="0" applyFont="1" applyFill="1" applyAlignment="1">
      <alignment horizontal="right"/>
    </xf>
    <xf numFmtId="0" fontId="0" fillId="0" borderId="0" xfId="0" applyFont="1"/>
    <xf numFmtId="0" fontId="25" fillId="0" borderId="0" xfId="0" applyFont="1" applyProtection="1">
      <protection hidden="1"/>
    </xf>
    <xf numFmtId="0" fontId="26" fillId="0" borderId="0" xfId="0" applyFont="1" applyFill="1"/>
    <xf numFmtId="1" fontId="26" fillId="0" borderId="0" xfId="0" applyNumberFormat="1" applyFont="1" applyFill="1"/>
    <xf numFmtId="0" fontId="0" fillId="3" borderId="0" xfId="0" applyFont="1" applyFill="1"/>
    <xf numFmtId="0" fontId="0" fillId="0" borderId="0" xfId="0" applyNumberFormat="1" applyFont="1" applyFill="1"/>
    <xf numFmtId="0" fontId="27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0" fillId="9" borderId="0" xfId="0" applyFill="1"/>
    <xf numFmtId="0" fontId="0" fillId="10" borderId="0" xfId="0" applyFill="1"/>
    <xf numFmtId="0" fontId="0" fillId="0" borderId="34" xfId="0" applyBorder="1"/>
    <xf numFmtId="0" fontId="28" fillId="0" borderId="0" xfId="0" applyFont="1"/>
    <xf numFmtId="0" fontId="29" fillId="0" borderId="0" xfId="0" applyFont="1" applyProtection="1">
      <protection hidden="1"/>
    </xf>
    <xf numFmtId="0" fontId="7" fillId="0" borderId="8" xfId="0" applyFont="1" applyBorder="1" applyAlignment="1">
      <alignment horizontal="right" vertical="center"/>
    </xf>
    <xf numFmtId="0" fontId="4" fillId="0" borderId="35" xfId="0" applyFont="1" applyBorder="1" applyAlignment="1">
      <alignment horizontal="center" vertical="center" wrapText="1"/>
    </xf>
    <xf numFmtId="0" fontId="8" fillId="6" borderId="9" xfId="0" applyFont="1" applyFill="1" applyBorder="1" applyAlignment="1" applyProtection="1">
      <alignment horizontal="left" vertical="center"/>
      <protection locked="0"/>
    </xf>
    <xf numFmtId="0" fontId="5" fillId="6" borderId="36" xfId="0" applyFont="1" applyFill="1" applyBorder="1" applyAlignment="1" applyProtection="1">
      <alignment horizontal="center" vertical="center"/>
      <protection locked="0"/>
    </xf>
    <xf numFmtId="0" fontId="8" fillId="6" borderId="9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Alignment="1">
      <alignment horizontal="right"/>
    </xf>
    <xf numFmtId="43" fontId="0" fillId="0" borderId="0" xfId="0" applyNumberFormat="1" applyAlignment="1" applyProtection="1">
      <alignment vertical="center"/>
      <protection hidden="1"/>
    </xf>
    <xf numFmtId="0" fontId="30" fillId="0" borderId="0" xfId="0" applyFont="1"/>
    <xf numFmtId="0" fontId="27" fillId="0" borderId="0" xfId="0" applyFont="1"/>
    <xf numFmtId="0" fontId="27" fillId="0" borderId="0" xfId="0" applyFont="1" applyFill="1"/>
    <xf numFmtId="1" fontId="26" fillId="9" borderId="0" xfId="0" applyNumberFormat="1" applyFont="1" applyFill="1"/>
    <xf numFmtId="0" fontId="0" fillId="9" borderId="0" xfId="0" applyFont="1" applyFill="1" applyAlignment="1">
      <alignment horizontal="right"/>
    </xf>
    <xf numFmtId="0" fontId="1" fillId="9" borderId="0" xfId="0" applyFont="1" applyFill="1"/>
    <xf numFmtId="0" fontId="0" fillId="9" borderId="0" xfId="0" applyFont="1" applyFill="1"/>
    <xf numFmtId="0" fontId="0" fillId="9" borderId="1" xfId="0" applyFill="1" applyBorder="1"/>
    <xf numFmtId="0" fontId="0" fillId="9" borderId="8" xfId="0" applyFill="1" applyBorder="1"/>
    <xf numFmtId="0" fontId="0" fillId="9" borderId="3" xfId="0" applyFill="1" applyBorder="1"/>
    <xf numFmtId="43" fontId="26" fillId="0" borderId="0" xfId="1" applyFont="1"/>
    <xf numFmtId="0" fontId="2" fillId="9" borderId="0" xfId="0" applyFont="1" applyFill="1"/>
    <xf numFmtId="0" fontId="0" fillId="9" borderId="0" xfId="0" applyFill="1" applyAlignment="1">
      <alignment horizontal="right"/>
    </xf>
    <xf numFmtId="0" fontId="2" fillId="9" borderId="0" xfId="0" applyFont="1" applyFill="1" applyAlignment="1">
      <alignment horizontal="right"/>
    </xf>
    <xf numFmtId="0" fontId="26" fillId="9" borderId="0" xfId="0" applyFont="1" applyFill="1" applyAlignment="1">
      <alignment horizontal="right"/>
    </xf>
    <xf numFmtId="0" fontId="1" fillId="9" borderId="0" xfId="0" applyFont="1" applyFill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4" borderId="2" xfId="0" applyFill="1" applyBorder="1"/>
    <xf numFmtId="0" fontId="0" fillId="6" borderId="2" xfId="0" applyFill="1" applyBorder="1"/>
    <xf numFmtId="0" fontId="6" fillId="0" borderId="0" xfId="0" applyFont="1"/>
    <xf numFmtId="0" fontId="0" fillId="0" borderId="0" xfId="0" applyAlignment="1">
      <alignment horizontal="left" indent="1"/>
    </xf>
    <xf numFmtId="1" fontId="0" fillId="0" borderId="0" xfId="0" applyNumberFormat="1" applyFill="1"/>
    <xf numFmtId="0" fontId="13" fillId="8" borderId="1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5" fillId="6" borderId="11" xfId="0" applyFont="1" applyFill="1" applyBorder="1" applyAlignment="1" applyProtection="1">
      <alignment horizontal="left" vertical="center"/>
      <protection locked="0"/>
    </xf>
    <xf numFmtId="0" fontId="5" fillId="6" borderId="10" xfId="0" applyFont="1" applyFill="1" applyBorder="1" applyAlignment="1" applyProtection="1">
      <alignment horizontal="left" vertical="center"/>
      <protection locked="0"/>
    </xf>
    <xf numFmtId="0" fontId="5" fillId="6" borderId="22" xfId="0" applyFont="1" applyFill="1" applyBorder="1" applyAlignment="1" applyProtection="1">
      <alignment horizontal="left" vertical="center"/>
      <protection locked="0"/>
    </xf>
    <xf numFmtId="166" fontId="2" fillId="0" borderId="0" xfId="0" applyNumberFormat="1" applyFon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0" fontId="2" fillId="4" borderId="34" xfId="0" applyFont="1" applyFill="1" applyBorder="1" applyAlignment="1" applyProtection="1">
      <alignment vertical="center"/>
      <protection locked="0"/>
    </xf>
    <xf numFmtId="0" fontId="0" fillId="4" borderId="34" xfId="0" applyFill="1" applyBorder="1" applyAlignment="1" applyProtection="1">
      <alignment vertical="center"/>
      <protection locked="0"/>
    </xf>
    <xf numFmtId="0" fontId="2" fillId="0" borderId="0" xfId="0" applyFont="1" applyBorder="1" applyAlignment="1"/>
    <xf numFmtId="0" fontId="0" fillId="0" borderId="0" xfId="0" applyBorder="1" applyAlignment="1"/>
    <xf numFmtId="0" fontId="0" fillId="4" borderId="8" xfId="0" applyFill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 wrapText="1"/>
      <protection hidden="1"/>
    </xf>
    <xf numFmtId="0" fontId="0" fillId="0" borderId="39" xfId="0" applyBorder="1"/>
    <xf numFmtId="0" fontId="0" fillId="0" borderId="0" xfId="0"/>
    <xf numFmtId="0" fontId="0" fillId="4" borderId="35" xfId="0" applyFill="1" applyBorder="1" applyAlignment="1" applyProtection="1">
      <alignment vertical="center" wrapText="1"/>
      <protection locked="0"/>
    </xf>
    <xf numFmtId="0" fontId="0" fillId="4" borderId="37" xfId="0" applyFill="1" applyBorder="1" applyAlignment="1" applyProtection="1">
      <alignment vertical="center" wrapText="1"/>
      <protection locked="0"/>
    </xf>
    <xf numFmtId="0" fontId="17" fillId="0" borderId="0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8" xfId="0" applyBorder="1" applyAlignment="1">
      <alignment horizontal="center" shrinkToFit="1"/>
    </xf>
    <xf numFmtId="0" fontId="13" fillId="8" borderId="2" xfId="0" applyFont="1" applyFill="1" applyBorder="1" applyAlignment="1">
      <alignment horizontal="center" vertical="center"/>
    </xf>
    <xf numFmtId="0" fontId="5" fillId="6" borderId="38" xfId="0" applyFont="1" applyFill="1" applyBorder="1" applyAlignment="1" applyProtection="1">
      <alignment horizontal="left" vertical="center"/>
      <protection locked="0"/>
    </xf>
    <xf numFmtId="0" fontId="5" fillId="6" borderId="26" xfId="0" applyFont="1" applyFill="1" applyBorder="1" applyAlignment="1" applyProtection="1">
      <alignment horizontal="left" vertical="center"/>
      <protection locked="0"/>
    </xf>
    <xf numFmtId="0" fontId="5" fillId="6" borderId="31" xfId="0" applyFont="1" applyFill="1" applyBorder="1" applyAlignment="1" applyProtection="1">
      <alignment horizontal="left" vertical="center"/>
      <protection locked="0"/>
    </xf>
    <xf numFmtId="0" fontId="5" fillId="6" borderId="13" xfId="0" applyFont="1" applyFill="1" applyBorder="1" applyAlignment="1" applyProtection="1">
      <alignment horizontal="left" vertical="center"/>
      <protection locked="0"/>
    </xf>
    <xf numFmtId="0" fontId="5" fillId="6" borderId="12" xfId="0" applyFont="1" applyFill="1" applyBorder="1" applyAlignment="1" applyProtection="1">
      <alignment horizontal="left" vertical="center"/>
      <protection locked="0"/>
    </xf>
    <xf numFmtId="0" fontId="5" fillId="6" borderId="33" xfId="0" applyFont="1" applyFill="1" applyBorder="1" applyAlignment="1" applyProtection="1">
      <alignment horizontal="left" vertical="center"/>
      <protection locked="0"/>
    </xf>
  </cellXfs>
  <cellStyles count="3">
    <cellStyle name="Обычный" xfId="0" builtinId="0"/>
    <cellStyle name="Финансовый" xfId="1" builtinId="3"/>
    <cellStyle name="Финансовый 2" xfId="2" xr:uid="{00000000-0005-0000-0000-00002F000000}"/>
  </cellStyles>
  <dxfs count="14">
    <dxf>
      <font>
        <b val="0"/>
        <i/>
        <condense val="0"/>
        <extend val="0"/>
        <color indexed="10"/>
      </font>
      <fill>
        <patternFill>
          <bgColor indexed="13"/>
        </patternFill>
      </fill>
    </dxf>
    <dxf>
      <font>
        <b val="0"/>
        <i/>
        <condense val="0"/>
        <extend val="0"/>
        <color indexed="10"/>
      </font>
      <fill>
        <patternFill>
          <bgColor indexed="13"/>
        </patternFill>
      </fill>
    </dxf>
    <dxf>
      <font>
        <b val="0"/>
        <i/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/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/>
        <condense val="0"/>
        <extend val="0"/>
        <color indexed="10"/>
      </font>
      <fill>
        <patternFill>
          <bgColor indexed="34"/>
        </patternFill>
      </fill>
    </dxf>
    <dxf>
      <font>
        <b val="0"/>
        <i/>
        <condense val="0"/>
        <extend val="0"/>
        <color indexed="10"/>
      </font>
      <fill>
        <patternFill>
          <bgColor indexed="13"/>
        </patternFill>
      </fill>
    </dxf>
    <dxf>
      <font>
        <b val="0"/>
        <i/>
        <condense val="0"/>
        <extend val="0"/>
        <color indexed="10"/>
      </font>
      <fill>
        <patternFill>
          <bgColor indexed="13"/>
        </patternFill>
      </fill>
    </dxf>
    <dxf>
      <font>
        <b val="0"/>
        <i/>
        <condense val="0"/>
        <extend val="0"/>
        <color indexed="10"/>
      </font>
      <fill>
        <patternFill>
          <bgColor indexed="13"/>
        </patternFill>
      </fill>
    </dxf>
    <dxf>
      <font>
        <b val="0"/>
        <i/>
        <condense val="0"/>
        <extend val="0"/>
        <color indexed="10"/>
      </font>
      <fill>
        <patternFill>
          <bgColor indexed="34"/>
        </patternFill>
      </fill>
    </dxf>
    <dxf>
      <font>
        <b val="0"/>
        <i/>
        <condense val="0"/>
        <extend val="0"/>
        <color indexed="10"/>
      </font>
      <fill>
        <patternFill>
          <bgColor indexed="13"/>
        </patternFill>
      </fill>
    </dxf>
    <dxf>
      <font>
        <b val="0"/>
        <i/>
        <condense val="0"/>
        <extend val="0"/>
        <color indexed="10"/>
      </font>
      <fill>
        <patternFill>
          <bgColor indexed="13"/>
        </patternFill>
      </fill>
    </dxf>
    <dxf>
      <font>
        <b val="0"/>
        <i/>
        <condense val="0"/>
        <extend val="0"/>
        <color indexed="10"/>
      </font>
      <fill>
        <patternFill>
          <bgColor indexed="13"/>
        </patternFill>
      </fill>
    </dxf>
    <dxf>
      <fill>
        <patternFill>
          <bgColor indexed="47"/>
        </patternFill>
      </fill>
    </dxf>
    <dxf>
      <font>
        <b val="0"/>
        <i/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50" dropStyle="combo" dx="22" fmlaLink="$F$196" fmlaRange="Пленки!$B$18:$B$193" noThreeD="1" sel="1" val="0"/>
</file>

<file path=xl/ctrlProps/ctrlProp2.xml><?xml version="1.0" encoding="utf-8"?>
<formControlPr xmlns="http://schemas.microsoft.com/office/spreadsheetml/2009/9/main" objectType="Drop" dropLines="50" dropStyle="combo" dx="22" fmlaLink="$A$196" fmlaRange="Патина!$H$2:$H$28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194</xdr:row>
          <xdr:rowOff>142875</xdr:rowOff>
        </xdr:from>
        <xdr:to>
          <xdr:col>8</xdr:col>
          <xdr:colOff>342900</xdr:colOff>
          <xdr:row>195</xdr:row>
          <xdr:rowOff>247650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195</xdr:row>
          <xdr:rowOff>9525</xdr:rowOff>
        </xdr:from>
        <xdr:to>
          <xdr:col>4</xdr:col>
          <xdr:colOff>419100</xdr:colOff>
          <xdr:row>196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12886</xdr:colOff>
      <xdr:row>271</xdr:row>
      <xdr:rowOff>74519</xdr:rowOff>
    </xdr:from>
    <xdr:to>
      <xdr:col>9</xdr:col>
      <xdr:colOff>1712813</xdr:colOff>
      <xdr:row>279</xdr:row>
      <xdr:rowOff>110178</xdr:rowOff>
    </xdr:to>
    <xdr:sp macro="" textlink="">
      <xdr:nvSpPr>
        <xdr:cNvPr id="5" name="Text Box 22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2886" y="16446313"/>
          <a:ext cx="7085479" cy="129259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uk-UA"/>
            <a:t>Розмір деталей приймається у міліметрах. По висоті розташовується структура плівки та малюнок. Після оформлення замовлення доповнення та зміни приймаються лише у формі додаткового замовлення! Рекламації за кількістю та якістю приймаються постачальником протягом 5-ти робочих днів від дати відвантаження товару! Гарантійний термін на деталі із МДФ: у плівках складської програми – 3 роки, у плівках ТМ "HORNSCHUCH" (Німеччина) – 5 років за наявності бланка замовлення. </a:t>
          </a:r>
          <a:r>
            <a:rPr lang="uk-UA" b="1"/>
            <a:t>Увага! При дозамовленні колір плівки та патини за тональністю може відрізнятися. Вартість замовлення вказана без урахування транспортних послуг. Послуги доставки розраховуються додатково.</a:t>
          </a:r>
          <a:endParaRPr lang="ru-RU" sz="1000" b="1" i="1" u="none" strike="noStrike" baseline="0">
            <a:solidFill>
              <a:srgbClr val="000000"/>
            </a:solidFill>
            <a:latin typeface="Arial Cyr"/>
            <a:cs typeface="Arial Cyr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S270"/>
  <sheetViews>
    <sheetView showGridLines="0" tabSelected="1" topLeftCell="A181" zoomScale="85" zoomScaleNormal="85" workbookViewId="0">
      <pane xSplit="10" ySplit="18" topLeftCell="K250" activePane="bottomRight" state="frozen"/>
      <selection activeCell="A187" sqref="A187"/>
      <selection pane="topRight" activeCell="K187" sqref="K187"/>
      <selection pane="bottomLeft" activeCell="A199" sqref="A199"/>
      <selection pane="bottomRight" activeCell="L261" sqref="L261"/>
    </sheetView>
  </sheetViews>
  <sheetFormatPr defaultRowHeight="12.75" x14ac:dyDescent="0.2"/>
  <cols>
    <col min="1" max="1" width="4.5703125" style="49" customWidth="1"/>
    <col min="2" max="3" width="7.28515625" style="49" customWidth="1"/>
    <col min="4" max="4" width="4.7109375" style="49" customWidth="1"/>
    <col min="5" max="5" width="6.85546875" style="49" customWidth="1"/>
    <col min="6" max="6" width="29.42578125" style="49" customWidth="1"/>
    <col min="7" max="7" width="6.42578125" style="49" customWidth="1"/>
    <col min="8" max="8" width="6.7109375" style="49" customWidth="1"/>
    <col min="9" max="9" width="7.7109375" style="49" customWidth="1"/>
    <col min="10" max="10" width="26" style="49" customWidth="1"/>
    <col min="11" max="11" width="14.7109375" style="49" customWidth="1"/>
    <col min="12" max="12" width="16" style="57" customWidth="1"/>
    <col min="13" max="24" width="16" style="81" customWidth="1"/>
    <col min="25" max="25" width="9.140625" style="49" hidden="1" customWidth="1"/>
    <col min="26" max="31" width="9.140625" style="50" hidden="1" customWidth="1"/>
    <col min="32" max="32" width="11" style="68" hidden="1" customWidth="1"/>
    <col min="33" max="33" width="9.140625" style="50" hidden="1" customWidth="1"/>
    <col min="34" max="39" width="9.140625" style="49" hidden="1" customWidth="1"/>
    <col min="40" max="42" width="9.140625" style="49" customWidth="1"/>
    <col min="43" max="45" width="11.140625" style="49" bestFit="1" customWidth="1"/>
    <col min="46" max="49" width="9.140625" style="49" customWidth="1"/>
    <col min="50" max="16384" width="9.140625" style="49"/>
  </cols>
  <sheetData>
    <row r="1" spans="4:32" hidden="1" x14ac:dyDescent="0.2">
      <c r="F1" s="50" t="str">
        <f>Фрезеровки!B3</f>
        <v>Авиньон</v>
      </c>
      <c r="G1" s="49" t="s">
        <v>38</v>
      </c>
      <c r="H1" s="121">
        <v>45</v>
      </c>
      <c r="J1" s="50" t="str">
        <f>Фрезеровки!H3</f>
        <v>нет</v>
      </c>
    </row>
    <row r="2" spans="4:32" s="50" customFormat="1" hidden="1" x14ac:dyDescent="0.2">
      <c r="E2" s="50">
        <v>10</v>
      </c>
      <c r="F2" s="50" t="str">
        <f>Фрезеровки!B4</f>
        <v>Адель</v>
      </c>
      <c r="G2" s="50">
        <v>1</v>
      </c>
      <c r="H2" s="121" t="s">
        <v>42</v>
      </c>
      <c r="I2" s="50" t="s">
        <v>102</v>
      </c>
      <c r="J2" s="50" t="str">
        <f>Фрезеровки!H4</f>
        <v>Авіньон S-обр</v>
      </c>
      <c r="L2" s="57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50" t="str">
        <f>Фрезеровки!M4</f>
        <v>карниз Британія 2м.п. (h96) (без кубиков)</v>
      </c>
      <c r="AB2" s="120" t="s">
        <v>180</v>
      </c>
      <c r="AC2" s="120" t="s">
        <v>180</v>
      </c>
      <c r="AF2" s="68"/>
    </row>
    <row r="3" spans="4:32" s="50" customFormat="1" hidden="1" x14ac:dyDescent="0.2">
      <c r="D3" s="50" t="s">
        <v>4</v>
      </c>
      <c r="E3" s="50">
        <v>16</v>
      </c>
      <c r="F3" s="50" t="str">
        <f>Фрезеровки!B5</f>
        <v>Альба</v>
      </c>
      <c r="G3" s="120">
        <v>1.45</v>
      </c>
      <c r="H3" s="121" t="s">
        <v>35</v>
      </c>
      <c r="I3" s="50" t="s">
        <v>103</v>
      </c>
      <c r="J3" s="50" t="str">
        <f>Фрезеровки!H5</f>
        <v>Авіньон ВОГН</v>
      </c>
      <c r="L3" s="57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50" t="str">
        <f>Фрезеровки!M5</f>
        <v>карниз Вена 2м.п. (h68)</v>
      </c>
      <c r="AB3" s="120" t="s">
        <v>91</v>
      </c>
      <c r="AC3" s="120" t="s">
        <v>91</v>
      </c>
      <c r="AF3" s="68"/>
    </row>
    <row r="4" spans="4:32" s="50" customFormat="1" hidden="1" x14ac:dyDescent="0.2">
      <c r="E4" s="50">
        <v>19</v>
      </c>
      <c r="F4" s="50" t="str">
        <f>Фрезеровки!B6</f>
        <v>Амальфі</v>
      </c>
      <c r="G4" s="50">
        <v>2</v>
      </c>
      <c r="H4" s="121" t="s">
        <v>43</v>
      </c>
      <c r="J4" s="50" t="str">
        <f>Фрезеровки!H6</f>
        <v>Авіньон ГН</v>
      </c>
      <c r="L4" s="57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50" t="str">
        <f>Фрезеровки!M6</f>
        <v>карниз Класичниий 2м.п. (h38)</v>
      </c>
      <c r="AB4" s="120" t="s">
        <v>181</v>
      </c>
      <c r="AC4" s="120" t="s">
        <v>181</v>
      </c>
      <c r="AF4" s="68"/>
    </row>
    <row r="5" spans="4:32" s="50" customFormat="1" hidden="1" x14ac:dyDescent="0.2">
      <c r="E5" s="50">
        <v>38</v>
      </c>
      <c r="F5" s="50" t="str">
        <f>Фрезеровки!B7</f>
        <v>Амстердам</v>
      </c>
      <c r="G5" s="120">
        <v>2.1</v>
      </c>
      <c r="H5" s="121" t="s">
        <v>44</v>
      </c>
      <c r="J5" s="50" t="str">
        <f>Фрезеровки!H7</f>
        <v>Адель ГН</v>
      </c>
      <c r="L5" s="57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50" t="str">
        <f>Фрезеровки!M7</f>
        <v>карниз Класичниий R вогн (h38)</v>
      </c>
      <c r="AB5" s="120" t="s">
        <v>182</v>
      </c>
      <c r="AC5" s="120" t="s">
        <v>185</v>
      </c>
      <c r="AF5" s="68"/>
    </row>
    <row r="6" spans="4:32" s="50" customFormat="1" hidden="1" x14ac:dyDescent="0.2">
      <c r="E6" s="50" t="s">
        <v>106</v>
      </c>
      <c r="F6" s="50" t="str">
        <f>Фрезеровки!B8</f>
        <v>Анже</v>
      </c>
      <c r="G6" s="50">
        <v>4</v>
      </c>
      <c r="H6" s="121" t="s">
        <v>36</v>
      </c>
      <c r="J6" s="50" t="str">
        <f>Фрезеровки!H8</f>
        <v>Амальфі S-обр</v>
      </c>
      <c r="L6" s="57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50" t="str">
        <f>Фрезеровки!M8</f>
        <v>карниз Класичниий R гн (h38)</v>
      </c>
      <c r="AB6" s="120" t="s">
        <v>183</v>
      </c>
      <c r="AC6" s="120" t="s">
        <v>186</v>
      </c>
      <c r="AF6" s="68"/>
    </row>
    <row r="7" spans="4:32" s="50" customFormat="1" hidden="1" x14ac:dyDescent="0.2">
      <c r="E7" s="50" t="s">
        <v>107</v>
      </c>
      <c r="F7" s="50" t="str">
        <f>Фрезеровки!B9</f>
        <v>Анкона +Р</v>
      </c>
      <c r="G7" s="120">
        <v>4.0999999999999996</v>
      </c>
      <c r="H7" s="121" t="s">
        <v>46</v>
      </c>
      <c r="J7" s="50" t="str">
        <f>Фрезеровки!H9</f>
        <v>Амальфі ГН</v>
      </c>
      <c r="L7" s="57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50" t="str">
        <f>Фрезеровки!M9</f>
        <v>карниз Монтана 2м.п. (h38)</v>
      </c>
      <c r="AB7" s="120" t="s">
        <v>184</v>
      </c>
      <c r="AC7" s="120"/>
      <c r="AF7" s="68"/>
    </row>
    <row r="8" spans="4:32" s="50" customFormat="1" hidden="1" x14ac:dyDescent="0.2">
      <c r="E8" s="50" t="s">
        <v>108</v>
      </c>
      <c r="F8" s="50" t="str">
        <f>Фрезеровки!B10</f>
        <v>Арка</v>
      </c>
      <c r="G8" s="120">
        <v>45</v>
      </c>
      <c r="H8" s="121" t="s">
        <v>45</v>
      </c>
      <c r="J8" s="50" t="str">
        <f>Фрезеровки!H10</f>
        <v>Анже ГН</v>
      </c>
      <c r="L8" s="57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50" t="str">
        <f>Фрезеровки!M10</f>
        <v>карниз Монтана R вогн (h38)</v>
      </c>
      <c r="AC8" s="120"/>
      <c r="AF8" s="68"/>
    </row>
    <row r="9" spans="4:32" s="50" customFormat="1" hidden="1" x14ac:dyDescent="0.2">
      <c r="E9" s="50" t="s">
        <v>110</v>
      </c>
      <c r="F9" s="50" t="str">
        <f>Фрезеровки!B11</f>
        <v>Арка подвійна</v>
      </c>
      <c r="G9" s="120">
        <v>5</v>
      </c>
      <c r="H9" s="121" t="s">
        <v>47</v>
      </c>
      <c r="J9" s="50" t="str">
        <f>Фрезеровки!H11</f>
        <v>Арка S-обр</v>
      </c>
      <c r="L9" s="57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50" t="str">
        <f>Фрезеровки!M11</f>
        <v>карниз Монтана R гн (h38)</v>
      </c>
      <c r="AF9" s="68"/>
    </row>
    <row r="10" spans="4:32" s="50" customFormat="1" hidden="1" x14ac:dyDescent="0.2">
      <c r="E10" s="50" t="s">
        <v>193</v>
      </c>
      <c r="F10" s="50" t="str">
        <f>Фрезеровки!B12</f>
        <v>Афіни</v>
      </c>
      <c r="G10" s="50">
        <v>6</v>
      </c>
      <c r="H10" s="121" t="s">
        <v>37</v>
      </c>
      <c r="J10" s="50" t="str">
        <f>Фрезеровки!H12</f>
        <v>Арка ВОГН</v>
      </c>
      <c r="L10" s="57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50" t="str">
        <f>Фрезеровки!M12</f>
        <v>карниз Прованс 2м.п. (h57)</v>
      </c>
      <c r="AF10" s="68"/>
    </row>
    <row r="11" spans="4:32" s="50" customFormat="1" hidden="1" x14ac:dyDescent="0.2">
      <c r="F11" s="50" t="str">
        <f>Фрезеровки!B13</f>
        <v>Барселона</v>
      </c>
      <c r="G11" s="120">
        <v>6.1</v>
      </c>
      <c r="H11" s="133" t="s">
        <v>48</v>
      </c>
      <c r="J11" s="50" t="str">
        <f>Фрезеровки!H13</f>
        <v>Арка ГН</v>
      </c>
      <c r="L11" s="57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50" t="str">
        <f>Фрезеровки!M13</f>
        <v>карниз Прованс R вогн (h57)</v>
      </c>
      <c r="AF11" s="68"/>
    </row>
    <row r="12" spans="4:32" s="50" customFormat="1" hidden="1" x14ac:dyDescent="0.2">
      <c r="F12" s="50" t="str">
        <f>Фрезеровки!B14</f>
        <v>Беладжио</v>
      </c>
      <c r="G12" s="120">
        <v>9</v>
      </c>
      <c r="H12" s="133" t="s">
        <v>246</v>
      </c>
      <c r="J12" s="50" t="str">
        <f>Фрезеровки!H14</f>
        <v>Арка подвійна S-обр</v>
      </c>
      <c r="L12" s="57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50" t="str">
        <f>Фрезеровки!M14</f>
        <v>карниз Прованс R гн (h57)</v>
      </c>
      <c r="AF12" s="68"/>
    </row>
    <row r="13" spans="4:32" s="50" customFormat="1" hidden="1" x14ac:dyDescent="0.2">
      <c r="F13" s="50" t="str">
        <f>Фрезеровки!B15</f>
        <v>Бергамо</v>
      </c>
      <c r="H13" s="121" t="s">
        <v>247</v>
      </c>
      <c r="J13" s="50" t="str">
        <f>Фрезеровки!H15</f>
        <v>Арка подвійна ВОГН</v>
      </c>
      <c r="L13" s="57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50">
        <f>Фрезеровки!M15</f>
        <v>0</v>
      </c>
      <c r="AF13" s="68"/>
    </row>
    <row r="14" spans="4:32" s="50" customFormat="1" hidden="1" x14ac:dyDescent="0.2">
      <c r="F14" s="50" t="str">
        <f>Фрезеровки!B16</f>
        <v>Болонья</v>
      </c>
      <c r="J14" s="50" t="str">
        <f>Фрезеровки!H16</f>
        <v>Арка подвійна ГН</v>
      </c>
      <c r="L14" s="57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50" t="str">
        <f>Фрезеровки!M16</f>
        <v>свет.планка Афіни 2м.п. (h60)</v>
      </c>
      <c r="AF14" s="68"/>
    </row>
    <row r="15" spans="4:32" s="50" customFormat="1" hidden="1" x14ac:dyDescent="0.2">
      <c r="F15" s="50" t="str">
        <f>Фрезеровки!B17</f>
        <v>Бостон</v>
      </c>
      <c r="J15" s="50" t="str">
        <f>Фрезеровки!H17</f>
        <v>Афіни S-обр</v>
      </c>
      <c r="L15" s="57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50" t="str">
        <f>Фрезеровки!M17</f>
        <v>свет.планка Бари 2м.п. (h60)</v>
      </c>
      <c r="AF15" s="68"/>
    </row>
    <row r="16" spans="4:32" s="50" customFormat="1" hidden="1" x14ac:dyDescent="0.2">
      <c r="F16" s="50" t="str">
        <f>Фрезеровки!B18</f>
        <v>Пляшниця</v>
      </c>
      <c r="J16" s="50" t="str">
        <f>Фрезеровки!H18</f>
        <v>Афіни ВОГН</v>
      </c>
      <c r="L16" s="57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50" t="str">
        <f>Фрезеровки!M18</f>
        <v>свет.планка Британія 2м.п. (h50)</v>
      </c>
      <c r="AF16" s="68"/>
    </row>
    <row r="17" spans="6:32" s="50" customFormat="1" hidden="1" x14ac:dyDescent="0.2">
      <c r="F17" s="50" t="str">
        <f>Фрезеровки!B19</f>
        <v>Бремен</v>
      </c>
      <c r="J17" s="50" t="str">
        <f>Фрезеровки!H19</f>
        <v>Афіни ГН</v>
      </c>
      <c r="L17" s="57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50">
        <f>Фрезеровки!M19</f>
        <v>0</v>
      </c>
      <c r="AF17" s="68"/>
    </row>
    <row r="18" spans="6:32" s="50" customFormat="1" hidden="1" x14ac:dyDescent="0.2">
      <c r="F18" s="50" t="str">
        <f>Фрезеровки!B20</f>
        <v>Бремен (без декору)</v>
      </c>
      <c r="J18" s="50" t="str">
        <f>Фрезеровки!H20</f>
        <v>Барселона ГН</v>
      </c>
      <c r="L18" s="57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50">
        <f>Фрезеровки!M20</f>
        <v>0</v>
      </c>
      <c r="AF18" s="68"/>
    </row>
    <row r="19" spans="6:32" s="50" customFormat="1" hidden="1" x14ac:dyDescent="0.2">
      <c r="F19" s="50" t="str">
        <f>Фрезеровки!B21</f>
        <v>Брунико</v>
      </c>
      <c r="J19" s="50" t="str">
        <f>Фрезеровки!H21</f>
        <v>Барселона ВОГН (витрина)</v>
      </c>
      <c r="L19" s="57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50">
        <f>Фрезеровки!M21</f>
        <v>0</v>
      </c>
      <c r="AF19" s="68"/>
    </row>
    <row r="20" spans="6:32" s="50" customFormat="1" hidden="1" x14ac:dyDescent="0.2">
      <c r="F20" s="50" t="str">
        <f>Фрезеровки!B22</f>
        <v>Бристоль</v>
      </c>
      <c r="J20" s="50" t="str">
        <f>Фрезеровки!H22</f>
        <v>Бергамо ГН</v>
      </c>
      <c r="L20" s="57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50" t="str">
        <f>Фрезеровки!M22</f>
        <v>свет.планка Прато 2м.п. (h60)</v>
      </c>
      <c r="AF20" s="68"/>
    </row>
    <row r="21" spans="6:32" s="50" customFormat="1" hidden="1" x14ac:dyDescent="0.2">
      <c r="F21" s="50" t="str">
        <f>Фрезеровки!B23</f>
        <v>Валенсія</v>
      </c>
      <c r="J21" s="50" t="str">
        <f>Фрезеровки!H23</f>
        <v>Болонья S-обр</v>
      </c>
      <c r="L21" s="57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50" t="str">
        <f>Фрезеровки!M23</f>
        <v>свет.планка Прованс 2м.п (h60)</v>
      </c>
      <c r="AF21" s="68"/>
    </row>
    <row r="22" spans="6:32" s="50" customFormat="1" hidden="1" x14ac:dyDescent="0.2">
      <c r="F22" s="50" t="str">
        <f>Фрезеровки!B24</f>
        <v>Вегас</v>
      </c>
      <c r="J22" s="50" t="str">
        <f>Фрезеровки!H24</f>
        <v>Болонья ВОГН</v>
      </c>
      <c r="L22" s="57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50" t="str">
        <f>Фрезеровки!M24</f>
        <v>свет.планка Родос 2м.п. (h60)</v>
      </c>
      <c r="AF22" s="68"/>
    </row>
    <row r="23" spans="6:32" s="50" customFormat="1" hidden="1" x14ac:dyDescent="0.2">
      <c r="F23" s="50" t="str">
        <f>Фрезеровки!B25</f>
        <v>Версаль (лівий)</v>
      </c>
      <c r="J23" s="50" t="str">
        <f>Фрезеровки!H25</f>
        <v>Болонья ГН</v>
      </c>
      <c r="L23" s="57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50" t="str">
        <f>Фрезеровки!M25</f>
        <v>свет.планка Сиена 2м.п. (h60)</v>
      </c>
      <c r="AF23" s="68"/>
    </row>
    <row r="24" spans="6:32" s="50" customFormat="1" hidden="1" x14ac:dyDescent="0.2">
      <c r="F24" s="50" t="str">
        <f>Фрезеровки!B26</f>
        <v>Версаль (правий)</v>
      </c>
      <c r="J24" s="50" t="str">
        <f>Фрезеровки!H26</f>
        <v>Бостон S-обр</v>
      </c>
      <c r="L24" s="57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50" t="str">
        <f>Фрезеровки!M26</f>
        <v>свет.планка Толедо 2м.п. (h60)</v>
      </c>
      <c r="AF24" s="68"/>
    </row>
    <row r="25" spans="6:32" s="50" customFormat="1" hidden="1" x14ac:dyDescent="0.2">
      <c r="F25" s="50" t="str">
        <f>Фрезеровки!B27</f>
        <v>Виченца</v>
      </c>
      <c r="J25" s="50" t="str">
        <f>Фрезеровки!H27</f>
        <v>Бостон ВОГН</v>
      </c>
      <c r="L25" s="57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50" t="str">
        <f>Фрезеровки!M27</f>
        <v>свет.планка Триест 2м.п. (h60)</v>
      </c>
      <c r="AF25" s="68"/>
    </row>
    <row r="26" spans="6:32" s="50" customFormat="1" hidden="1" x14ac:dyDescent="0.2">
      <c r="F26" s="50" t="str">
        <f>Фрезеровки!B28</f>
        <v>Гауда</v>
      </c>
      <c r="J26" s="50" t="str">
        <f>Фрезеровки!H28</f>
        <v>Бостон ГН</v>
      </c>
      <c r="L26" s="57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50" t="str">
        <f>Фрезеровки!M28</f>
        <v>фриз Афіни 2м.п. (h100)</v>
      </c>
      <c r="AF26" s="68"/>
    </row>
    <row r="27" spans="6:32" s="50" customFormat="1" hidden="1" x14ac:dyDescent="0.2">
      <c r="F27" s="50" t="str">
        <f>Фрезеровки!B29</f>
        <v>Глазго</v>
      </c>
      <c r="J27" s="50" t="str">
        <f>Фрезеровки!H29</f>
        <v>Бремен ГН</v>
      </c>
      <c r="L27" s="57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50" t="str">
        <f>Фрезеровки!M29</f>
        <v>фриз Дамаск 2м.п. (h100)</v>
      </c>
      <c r="AF27" s="68"/>
    </row>
    <row r="28" spans="6:32" s="50" customFormat="1" hidden="1" x14ac:dyDescent="0.2">
      <c r="F28" s="50" t="str">
        <f>Фрезеровки!B30</f>
        <v>Грас</v>
      </c>
      <c r="J28" s="50" t="str">
        <f>Фрезеровки!H30</f>
        <v>Бремен (без декору) ГН</v>
      </c>
      <c r="L28" s="57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50" t="str">
        <f>Фрезеровки!M30</f>
        <v>фриз Комо 2м.п. (h60)</v>
      </c>
      <c r="AF28" s="68"/>
    </row>
    <row r="29" spans="6:32" s="50" customFormat="1" hidden="1" x14ac:dyDescent="0.2">
      <c r="F29" s="50" t="str">
        <f>Фрезеровки!B31</f>
        <v>Грас (без декору)</v>
      </c>
      <c r="J29" s="50" t="str">
        <f>Фрезеровки!H31</f>
        <v>Бристоль S-обр</v>
      </c>
      <c r="L29" s="57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50" t="str">
        <f>Фрезеровки!M31</f>
        <v>фриз Левадія 2м.п. (h180)</v>
      </c>
      <c r="AF29" s="68"/>
    </row>
    <row r="30" spans="6:32" s="50" customFormat="1" hidden="1" x14ac:dyDescent="0.2">
      <c r="F30" s="50" t="str">
        <f>Фрезеровки!B32</f>
        <v>Грати (квадрат)</v>
      </c>
      <c r="J30" s="50" t="str">
        <f>Фрезеровки!H32</f>
        <v>Бристоль ВОГН</v>
      </c>
      <c r="L30" s="57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50" t="str">
        <f>Фрезеровки!M32</f>
        <v>фриз Парма 2м.п. (h60)</v>
      </c>
      <c r="AF30" s="68"/>
    </row>
    <row r="31" spans="6:32" s="50" customFormat="1" hidden="1" x14ac:dyDescent="0.2">
      <c r="F31" s="50" t="str">
        <f>Фрезеровки!B33</f>
        <v>Грати (ромб)</v>
      </c>
      <c r="J31" s="50" t="str">
        <f>Фрезеровки!H33</f>
        <v>Бристоль ГН</v>
      </c>
      <c r="L31" s="57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50" t="str">
        <f>Фрезеровки!M33</f>
        <v>фриз Родос 2м.п. (h100)</v>
      </c>
      <c r="AF31" s="68"/>
    </row>
    <row r="32" spans="6:32" s="50" customFormat="1" hidden="1" x14ac:dyDescent="0.2">
      <c r="F32" s="50" t="str">
        <f>Фрезеровки!B34</f>
        <v>дек.накладка Афіни</v>
      </c>
      <c r="J32" s="50" t="str">
        <f>Фрезеровки!H34</f>
        <v>Валенсія S-обр</v>
      </c>
      <c r="L32" s="57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50" t="str">
        <f>Фрезеровки!M34</f>
        <v>фриз Фано 2м.п. (h100)</v>
      </c>
      <c r="AF32" s="68"/>
    </row>
    <row r="33" spans="6:32" s="50" customFormat="1" hidden="1" x14ac:dyDescent="0.2">
      <c r="F33" s="50" t="str">
        <f>Фрезеровки!B35</f>
        <v>дек.накладка Верона</v>
      </c>
      <c r="J33" s="50" t="str">
        <f>Фрезеровки!H35</f>
        <v>Валенсія ВОГН</v>
      </c>
      <c r="L33" s="57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50" t="str">
        <f>Фрезеровки!M35</f>
        <v>Балюстрада верхня 0,7</v>
      </c>
      <c r="AF33" s="68"/>
    </row>
    <row r="34" spans="6:32" s="50" customFormat="1" hidden="1" x14ac:dyDescent="0.2">
      <c r="F34" s="50" t="str">
        <f>Фрезеровки!B36</f>
        <v>дек.накладка Марсель</v>
      </c>
      <c r="J34" s="50" t="str">
        <f>Фрезеровки!H36</f>
        <v>Валенсія ГН</v>
      </c>
      <c r="L34" s="57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50" t="str">
        <f>Фрезеровки!M36</f>
        <v>Балюстрада нижня 0,7</v>
      </c>
      <c r="AF34" s="68"/>
    </row>
    <row r="35" spans="6:32" s="50" customFormat="1" hidden="1" x14ac:dyDescent="0.2">
      <c r="F35" s="50" t="str">
        <f>Фрезеровки!B37</f>
        <v>дек.накладка Олімпія</v>
      </c>
      <c r="J35" s="50" t="str">
        <f>Фрезеровки!H37</f>
        <v>Версаль S-обр (лівий)</v>
      </c>
      <c r="L35" s="57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50" t="str">
        <f>Фрезеровки!M37</f>
        <v>Балюстрада верхня 1,0</v>
      </c>
      <c r="AF35" s="68"/>
    </row>
    <row r="36" spans="6:32" s="50" customFormat="1" hidden="1" x14ac:dyDescent="0.2">
      <c r="F36" s="50" t="str">
        <f>Фрезеровки!B38</f>
        <v>дек.накладка Орлеан</v>
      </c>
      <c r="J36" s="50" t="str">
        <f>Фрезеровки!H38</f>
        <v>Версаль S-обр (правий)</v>
      </c>
      <c r="L36" s="57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50" t="str">
        <f>Фрезеровки!M38</f>
        <v>Балюстрада нижня 1,0</v>
      </c>
      <c r="AF36" s="68"/>
    </row>
    <row r="37" spans="6:32" s="50" customFormat="1" hidden="1" x14ac:dyDescent="0.2">
      <c r="F37" s="50" t="str">
        <f>Фрезеровки!B39</f>
        <v>дек.накладка Петергоф</v>
      </c>
      <c r="J37" s="50" t="str">
        <f>Фрезеровки!H39</f>
        <v>Версаль ВОГН (лівий)</v>
      </c>
      <c r="L37" s="57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50" t="str">
        <f>Фрезеровки!M39</f>
        <v>Балюстрада верхня 1,4</v>
      </c>
      <c r="AF37" s="68"/>
    </row>
    <row r="38" spans="6:32" s="50" customFormat="1" hidden="1" x14ac:dyDescent="0.2">
      <c r="F38" s="50" t="str">
        <f>Фрезеровки!B40</f>
        <v>дек.накладка Ріан</v>
      </c>
      <c r="J38" s="50" t="str">
        <f>Фрезеровки!H40</f>
        <v>Версаль ВОГН (правий)</v>
      </c>
      <c r="L38" s="57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50" t="str">
        <f>Фрезеровки!M40</f>
        <v>Балюстрада нижня 1,4</v>
      </c>
      <c r="AF38" s="68"/>
    </row>
    <row r="39" spans="6:32" s="50" customFormat="1" hidden="1" x14ac:dyDescent="0.2">
      <c r="F39" s="50" t="str">
        <f>Фрезеровки!B41</f>
        <v>дек.накладка Рондо 1</v>
      </c>
      <c r="J39" s="50" t="str">
        <f>Фрезеровки!H41</f>
        <v>Версаль ГН (лівий)</v>
      </c>
      <c r="L39" s="57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50" t="str">
        <f>Фрезеровки!M41</f>
        <v>Балюстрада верхня R гн</v>
      </c>
      <c r="AF39" s="68"/>
    </row>
    <row r="40" spans="6:32" s="50" customFormat="1" hidden="1" x14ac:dyDescent="0.2">
      <c r="F40" s="50" t="str">
        <f>Фрезеровки!B42</f>
        <v>дек.накладка Рондо 2</v>
      </c>
      <c r="J40" s="50" t="str">
        <f>Фрезеровки!H42</f>
        <v>Версаль ГН (правий)</v>
      </c>
      <c r="L40" s="57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50" t="str">
        <f>Фрезеровки!M42</f>
        <v>Балюстрада нижня R гн</v>
      </c>
      <c r="AF40" s="68"/>
    </row>
    <row r="41" spans="6:32" s="50" customFormat="1" hidden="1" x14ac:dyDescent="0.2">
      <c r="F41" s="50" t="str">
        <f>Фрезеровки!B43</f>
        <v>дек.накладка Соната 1</v>
      </c>
      <c r="J41" s="50" t="str">
        <f>Фрезеровки!H43</f>
        <v>Дербі ВОГН</v>
      </c>
      <c r="L41" s="57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50" t="str">
        <f>Фрезеровки!M43</f>
        <v>Балюстрада верхня R вогн</v>
      </c>
      <c r="AF41" s="68"/>
    </row>
    <row r="42" spans="6:32" s="50" customFormat="1" hidden="1" x14ac:dyDescent="0.2">
      <c r="F42" s="50" t="str">
        <f>Фрезеровки!B44</f>
        <v>дек.накладка Соната 2</v>
      </c>
      <c r="J42" s="50" t="str">
        <f>Фрезеровки!H44</f>
        <v>Дербі ГН</v>
      </c>
      <c r="L42" s="57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50" t="str">
        <f>Фрезеровки!M44</f>
        <v>Балюстрада нижня R вогн</v>
      </c>
      <c r="AF42" s="68"/>
    </row>
    <row r="43" spans="6:32" s="50" customFormat="1" hidden="1" x14ac:dyDescent="0.2">
      <c r="F43" s="50" t="str">
        <f>Фрезеровки!B45</f>
        <v>дек.накладка Соната 3</v>
      </c>
      <c r="J43" s="50" t="str">
        <f>Фрезеровки!H45</f>
        <v>Довіль S-обр</v>
      </c>
      <c r="L43" s="57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50" t="str">
        <f>Фрезеровки!M45</f>
        <v>Углова меб.планка 0,72м.п.</v>
      </c>
      <c r="AF43" s="68"/>
    </row>
    <row r="44" spans="6:32" s="50" customFormat="1" hidden="1" x14ac:dyDescent="0.2">
      <c r="F44" s="50" t="str">
        <f>Фрезеровки!B46</f>
        <v>дек.накладка Софія</v>
      </c>
      <c r="J44" s="50" t="str">
        <f>Фрезеровки!H46</f>
        <v>Довіль ВОГН</v>
      </c>
      <c r="L44" s="57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50">
        <f>Фрезеровки!M46</f>
        <v>0</v>
      </c>
      <c r="AF44" s="68"/>
    </row>
    <row r="45" spans="6:32" s="50" customFormat="1" hidden="1" x14ac:dyDescent="0.2">
      <c r="F45" s="50" t="str">
        <f>Фрезеровки!B47</f>
        <v>дек.накладка Тулон</v>
      </c>
      <c r="J45" s="50" t="str">
        <f>Фрезеровки!H47</f>
        <v>Довіль ГН</v>
      </c>
      <c r="L45" s="57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50" t="str">
        <f>Фрезеровки!M47</f>
        <v>Профіль под скриту ручку 2м.п.</v>
      </c>
      <c r="AF45" s="68"/>
    </row>
    <row r="46" spans="6:32" s="50" customFormat="1" hidden="1" x14ac:dyDescent="0.2">
      <c r="F46" s="50" t="str">
        <f>Фрезеровки!B48</f>
        <v>дек.планка Адель</v>
      </c>
      <c r="J46" s="50" t="str">
        <f>Фрезеровки!H48</f>
        <v>Дублин ГН</v>
      </c>
      <c r="L46" s="57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50" t="str">
        <f>Фрезеровки!M48</f>
        <v>Радіусний фасад 16 гн (F800 тип2)</v>
      </c>
      <c r="AF46" s="68"/>
    </row>
    <row r="47" spans="6:32" s="50" customFormat="1" hidden="1" x14ac:dyDescent="0.2">
      <c r="F47" s="50" t="str">
        <f>Фрезеровки!B49</f>
        <v>дек.планка Анже</v>
      </c>
      <c r="J47" s="50" t="str">
        <f>Фрезеровки!H49</f>
        <v>Дублин ВОГН</v>
      </c>
      <c r="L47" s="57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50" t="str">
        <f>Фрезеровки!M49</f>
        <v>Радіусний фасад 19 гн (F800 тип2)</v>
      </c>
      <c r="AF47" s="68"/>
    </row>
    <row r="48" spans="6:32" s="50" customFormat="1" hidden="1" x14ac:dyDescent="0.2">
      <c r="F48" s="50" t="str">
        <f>Фрезеровки!B50</f>
        <v>дек.планка Венеція</v>
      </c>
      <c r="J48" s="50" t="str">
        <f>Фрезеровки!H50</f>
        <v>Ельче S-обр</v>
      </c>
      <c r="L48" s="57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50">
        <f>Фрезеровки!M50</f>
        <v>0</v>
      </c>
      <c r="AF48" s="68"/>
    </row>
    <row r="49" spans="6:32" s="50" customFormat="1" hidden="1" x14ac:dyDescent="0.2">
      <c r="F49" s="50" t="str">
        <f>Фрезеровки!B51</f>
        <v>дек.планка Довиль</v>
      </c>
      <c r="J49" s="50" t="str">
        <f>Фрезеровки!H51</f>
        <v>Ельче ВОГН</v>
      </c>
      <c r="L49" s="57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50">
        <f>Фрезеровки!M51</f>
        <v>0</v>
      </c>
      <c r="AF49" s="68"/>
    </row>
    <row r="50" spans="6:32" s="50" customFormat="1" hidden="1" x14ac:dyDescent="0.2">
      <c r="F50" s="50" t="str">
        <f>Фрезеровки!B52</f>
        <v>дек.планка Класік</v>
      </c>
      <c r="J50" s="50" t="str">
        <f>Фрезеровки!H52</f>
        <v>Ельче ГН</v>
      </c>
      <c r="L50" s="57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50">
        <f>Фрезеровки!M52</f>
        <v>0</v>
      </c>
      <c r="AF50" s="68"/>
    </row>
    <row r="51" spans="6:32" s="50" customFormat="1" hidden="1" x14ac:dyDescent="0.2">
      <c r="F51" s="50" t="str">
        <f>Фрезеровки!B53</f>
        <v>дек.планка Колонна</v>
      </c>
      <c r="J51" s="50" t="str">
        <f>Фрезеровки!H53</f>
        <v>Дуга S-обр</v>
      </c>
      <c r="L51" s="57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50">
        <f>Фрезеровки!M53</f>
        <v>0</v>
      </c>
      <c r="AF51" s="68"/>
    </row>
    <row r="52" spans="6:32" s="50" customFormat="1" hidden="1" x14ac:dyDescent="0.2">
      <c r="F52" s="50" t="str">
        <f>Фрезеровки!B54</f>
        <v>дек.планка Латина</v>
      </c>
      <c r="J52" s="50" t="str">
        <f>Фрезеровки!H54</f>
        <v>Дуга ВОГН</v>
      </c>
      <c r="L52" s="57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50">
        <f>Фрезеровки!M54</f>
        <v>0</v>
      </c>
      <c r="AF52" s="68"/>
    </row>
    <row r="53" spans="6:32" s="50" customFormat="1" hidden="1" x14ac:dyDescent="0.2">
      <c r="F53" s="50" t="str">
        <f>Фрезеровки!B55</f>
        <v>дек.планка Модена</v>
      </c>
      <c r="J53" s="50" t="str">
        <f>Фрезеровки!H55</f>
        <v>Дуга ГН</v>
      </c>
      <c r="L53" s="57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50">
        <f>Фрезеровки!M55</f>
        <v>0</v>
      </c>
      <c r="AF53" s="68"/>
    </row>
    <row r="54" spans="6:32" s="50" customFormat="1" hidden="1" x14ac:dyDescent="0.2">
      <c r="F54" s="50" t="str">
        <f>Фрезеровки!B56</f>
        <v>дек.планка Модерн</v>
      </c>
      <c r="J54" s="50" t="str">
        <f>Фрезеровки!H56</f>
        <v>Дуга подвійна S-обр</v>
      </c>
      <c r="L54" s="57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50">
        <f>Фрезеровки!M56</f>
        <v>0</v>
      </c>
      <c r="AF54" s="68"/>
    </row>
    <row r="55" spans="6:32" s="50" customFormat="1" hidden="1" x14ac:dyDescent="0.2">
      <c r="F55" s="50" t="str">
        <f>Фрезеровки!B57</f>
        <v>дек.планка Орлеан</v>
      </c>
      <c r="J55" s="50" t="str">
        <f>Фрезеровки!H57</f>
        <v>Дуга подвійна ГН</v>
      </c>
      <c r="L55" s="57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50">
        <f>Фрезеровки!M57</f>
        <v>0</v>
      </c>
      <c r="AF55" s="68"/>
    </row>
    <row r="56" spans="6:32" s="50" customFormat="1" hidden="1" x14ac:dyDescent="0.2">
      <c r="F56" s="50" t="str">
        <f>Фрезеровки!B58</f>
        <v>дек.планка Париж</v>
      </c>
      <c r="J56" s="50" t="str">
        <f>Фрезеровки!H58</f>
        <v>Дуга подвійна ВОГН</v>
      </c>
      <c r="L56" s="57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50">
        <f>Фрезеровки!M58</f>
        <v>0</v>
      </c>
      <c r="AF56" s="68"/>
    </row>
    <row r="57" spans="6:32" s="50" customFormat="1" hidden="1" x14ac:dyDescent="0.2">
      <c r="F57" s="50" t="str">
        <f>Фрезеровки!B59</f>
        <v>дек.планка Позитано</v>
      </c>
      <c r="J57" s="50" t="str">
        <f>Фрезеровки!H59</f>
        <v>Дуга массив S-обр</v>
      </c>
      <c r="L57" s="57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50">
        <f>Фрезеровки!M59</f>
        <v>0</v>
      </c>
      <c r="AF57" s="68"/>
    </row>
    <row r="58" spans="6:32" s="50" customFormat="1" hidden="1" x14ac:dyDescent="0.2">
      <c r="F58" s="50" t="str">
        <f>Фрезеровки!B60</f>
        <v>дек.планка Ріан</v>
      </c>
      <c r="J58" s="50" t="str">
        <f>Фрезеровки!H60</f>
        <v>Дуга массив ВОГН</v>
      </c>
      <c r="L58" s="57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50">
        <f>Фрезеровки!M60</f>
        <v>0</v>
      </c>
      <c r="AF58" s="68"/>
    </row>
    <row r="59" spans="6:32" s="50" customFormat="1" hidden="1" x14ac:dyDescent="0.2">
      <c r="F59" s="50" t="str">
        <f>Фрезеровки!B61</f>
        <v>дек.планка Рим</v>
      </c>
      <c r="J59" s="50" t="str">
        <f>Фрезеровки!H61</f>
        <v>Дуга массив ГН</v>
      </c>
      <c r="L59" s="57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50">
        <f>Фрезеровки!M61</f>
        <v>0</v>
      </c>
      <c r="AF59" s="68"/>
    </row>
    <row r="60" spans="6:32" s="50" customFormat="1" hidden="1" x14ac:dyDescent="0.2">
      <c r="F60" s="50" t="str">
        <f>Фрезеровки!B62</f>
        <v>дек.планка Универсальна</v>
      </c>
      <c r="J60" s="50" t="str">
        <f>Фрезеровки!H62</f>
        <v>ДуЕт S-обр (лівий)</v>
      </c>
      <c r="L60" s="57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50">
        <f>Фрезеровки!M62</f>
        <v>0</v>
      </c>
      <c r="AF60" s="68"/>
    </row>
    <row r="61" spans="6:32" s="50" customFormat="1" hidden="1" x14ac:dyDescent="0.2">
      <c r="F61" s="50" t="str">
        <f>Фрезеровки!B63</f>
        <v>дек.планка Флора</v>
      </c>
      <c r="J61" s="50" t="str">
        <f>Фрезеровки!H63</f>
        <v>ДуЕт S-обр (правий)</v>
      </c>
      <c r="L61" s="57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50">
        <f>Фрезеровки!M63</f>
        <v>0</v>
      </c>
      <c r="AF61" s="68"/>
    </row>
    <row r="62" spans="6:32" s="50" customFormat="1" hidden="1" x14ac:dyDescent="0.2">
      <c r="F62" s="50" t="str">
        <f>Фрезеровки!B64</f>
        <v>Дербі</v>
      </c>
      <c r="J62" s="50" t="str">
        <f>Фрезеровки!H64</f>
        <v>ДуЕт ВОГН (лівий)</v>
      </c>
      <c r="L62" s="57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50">
        <f>Фрезеровки!M64</f>
        <v>0</v>
      </c>
      <c r="AF62" s="68"/>
    </row>
    <row r="63" spans="6:32" s="50" customFormat="1" hidden="1" x14ac:dyDescent="0.2">
      <c r="F63" s="50" t="str">
        <f>Фрезеровки!B65</f>
        <v>Довіль</v>
      </c>
      <c r="J63" s="50" t="str">
        <f>Фрезеровки!H65</f>
        <v>ДуЕт ВОГН (правий)</v>
      </c>
      <c r="L63" s="57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50">
        <f>Фрезеровки!M65</f>
        <v>0</v>
      </c>
      <c r="AF63" s="68"/>
    </row>
    <row r="64" spans="6:32" s="50" customFormat="1" hidden="1" x14ac:dyDescent="0.2">
      <c r="F64" s="50" t="str">
        <f>Фрезеровки!B66</f>
        <v>Дублін</v>
      </c>
      <c r="J64" s="50" t="str">
        <f>Фрезеровки!H66</f>
        <v>ДуЕт ГН (лівий)</v>
      </c>
      <c r="L64" s="57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50">
        <f>Фрезеровки!M66</f>
        <v>0</v>
      </c>
      <c r="AF64" s="68"/>
    </row>
    <row r="65" spans="6:32" s="50" customFormat="1" hidden="1" x14ac:dyDescent="0.2">
      <c r="F65" s="50" t="str">
        <f>Фрезеровки!B67</f>
        <v>Ельче</v>
      </c>
      <c r="J65" s="50" t="str">
        <f>Фрезеровки!H67</f>
        <v>ДуЕт ГН (правий)</v>
      </c>
      <c r="L65" s="57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50">
        <f>Фрезеровки!M67</f>
        <v>0</v>
      </c>
      <c r="AF65" s="68"/>
    </row>
    <row r="66" spans="6:32" s="50" customFormat="1" hidden="1" x14ac:dyDescent="0.2">
      <c r="F66" s="50" t="str">
        <f>Фрезеровки!B68</f>
        <v>Дуга</v>
      </c>
      <c r="J66" s="50" t="str">
        <f>Фрезеровки!H68</f>
        <v>Женева ГН</v>
      </c>
      <c r="L66" s="57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50">
        <f>Фрезеровки!M68</f>
        <v>0</v>
      </c>
      <c r="AF66" s="68"/>
    </row>
    <row r="67" spans="6:32" s="50" customFormat="1" hidden="1" x14ac:dyDescent="0.2">
      <c r="F67" s="50" t="str">
        <f>Фрезеровки!B69</f>
        <v>Дуга подвійна</v>
      </c>
      <c r="J67" s="50" t="str">
        <f>Фрезеровки!H69</f>
        <v>Женева ВОГН (витрина)</v>
      </c>
      <c r="L67" s="57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50">
        <f>Фрезеровки!M69</f>
        <v>0</v>
      </c>
      <c r="AF67" s="68"/>
    </row>
    <row r="68" spans="6:32" s="50" customFormat="1" hidden="1" x14ac:dyDescent="0.2">
      <c r="F68" s="50" t="str">
        <f>Фрезеровки!B70</f>
        <v>Дуга массив</v>
      </c>
      <c r="J68" s="50" t="str">
        <f>Фрезеровки!H70</f>
        <v>Кантрі S-обр (лівий)</v>
      </c>
      <c r="L68" s="57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50">
        <f>Фрезеровки!M70</f>
        <v>0</v>
      </c>
      <c r="AF68" s="68"/>
    </row>
    <row r="69" spans="6:32" s="50" customFormat="1" hidden="1" x14ac:dyDescent="0.2">
      <c r="F69" s="50" t="str">
        <f>Фрезеровки!B71</f>
        <v>Дует (лівий)</v>
      </c>
      <c r="J69" s="50" t="str">
        <f>Фрезеровки!H71</f>
        <v>Кантрі S-обр (правий)</v>
      </c>
      <c r="L69" s="57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50">
        <f>Фрезеровки!M71</f>
        <v>0</v>
      </c>
      <c r="AF69" s="68"/>
    </row>
    <row r="70" spans="6:32" s="50" customFormat="1" hidden="1" x14ac:dyDescent="0.2">
      <c r="F70" s="50" t="str">
        <f>Фрезеровки!B72</f>
        <v>ДуЕт (правий)</v>
      </c>
      <c r="J70" s="50" t="str">
        <f>Фрезеровки!H72</f>
        <v>Кантрі ВОГН (лівий)</v>
      </c>
      <c r="L70" s="57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50">
        <f>Фрезеровки!M72</f>
        <v>0</v>
      </c>
      <c r="AF70" s="68"/>
    </row>
    <row r="71" spans="6:32" s="50" customFormat="1" hidden="1" x14ac:dyDescent="0.2">
      <c r="F71" s="50" t="str">
        <f>Фрезеровки!B73</f>
        <v>Женева</v>
      </c>
      <c r="J71" s="50" t="str">
        <f>Фрезеровки!H73</f>
        <v>Кантрі ВОГН (правий)</v>
      </c>
      <c r="L71" s="57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50">
        <f>Фрезеровки!M73</f>
        <v>0</v>
      </c>
      <c r="AF71" s="68"/>
    </row>
    <row r="72" spans="6:32" s="50" customFormat="1" hidden="1" x14ac:dyDescent="0.2">
      <c r="F72" s="50" t="str">
        <f>Фрезеровки!B74</f>
        <v>Кантрі (лівий)</v>
      </c>
      <c r="J72" s="50" t="str">
        <f>Фрезеровки!H74</f>
        <v>Кантрі ГН (лівий)</v>
      </c>
      <c r="L72" s="57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50">
        <f>Фрезеровки!M74</f>
        <v>0</v>
      </c>
      <c r="AF72" s="68"/>
    </row>
    <row r="73" spans="6:32" s="50" customFormat="1" hidden="1" x14ac:dyDescent="0.2">
      <c r="F73" s="50" t="str">
        <f>Фрезеровки!B75</f>
        <v>Кантри (правий)</v>
      </c>
      <c r="J73" s="50" t="str">
        <f>Фрезеровки!H75</f>
        <v>Кантрі ГН (правий)</v>
      </c>
      <c r="L73" s="57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50">
        <f>Фрезеровки!M75</f>
        <v>0</v>
      </c>
      <c r="AF73" s="68"/>
    </row>
    <row r="74" spans="6:32" s="50" customFormat="1" hidden="1" x14ac:dyDescent="0.2">
      <c r="F74" s="50" t="str">
        <f>Фрезеровки!B76</f>
        <v>Кельн 51</v>
      </c>
      <c r="J74" s="50" t="str">
        <f>Фрезеровки!H76</f>
        <v>Краків S-обр</v>
      </c>
      <c r="L74" s="57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50">
        <f>Фрезеровки!M76</f>
        <v>0</v>
      </c>
      <c r="AF74" s="68"/>
    </row>
    <row r="75" spans="6:32" s="50" customFormat="1" hidden="1" x14ac:dyDescent="0.2">
      <c r="F75" s="50" t="str">
        <f>Фрезеровки!B77</f>
        <v>Кельн 71</v>
      </c>
      <c r="J75" s="50" t="str">
        <f>Фрезеровки!H77</f>
        <v>Краків ВОГН (витрина)</v>
      </c>
      <c r="L75" s="57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6">
        <f>Фрезеровки!M77</f>
        <v>0</v>
      </c>
      <c r="AF75" s="68"/>
    </row>
    <row r="76" spans="6:32" s="50" customFormat="1" hidden="1" x14ac:dyDescent="0.2">
      <c r="F76" s="50" t="str">
        <f>Фрезеровки!B78</f>
        <v>Класік 51</v>
      </c>
      <c r="J76" s="50" t="str">
        <f>Фрезеровки!H78</f>
        <v>Краків ГН</v>
      </c>
      <c r="L76" s="57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AF76" s="68"/>
    </row>
    <row r="77" spans="6:32" s="50" customFormat="1" hidden="1" x14ac:dyDescent="0.2">
      <c r="F77" s="50" t="str">
        <f>Фрезеровки!B79</f>
        <v>Класік 71</v>
      </c>
      <c r="J77" s="50" t="str">
        <f>Фрезеровки!H79</f>
        <v>Ліверпуль ВОГН</v>
      </c>
      <c r="L77" s="57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AF77" s="68"/>
    </row>
    <row r="78" spans="6:32" s="50" customFormat="1" hidden="1" x14ac:dyDescent="0.2">
      <c r="F78" s="50" t="str">
        <f>Фрезеровки!B80</f>
        <v>Краків</v>
      </c>
      <c r="J78" s="50" t="str">
        <f>Фрезеровки!H80</f>
        <v>Ліверпуль ГН</v>
      </c>
      <c r="L78" s="57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AF78" s="68"/>
    </row>
    <row r="79" spans="6:32" s="50" customFormat="1" hidden="1" x14ac:dyDescent="0.2">
      <c r="F79" s="50" t="str">
        <f>Фрезеровки!B81</f>
        <v>Колонна 1</v>
      </c>
      <c r="J79" s="50" t="str">
        <f>Фрезеровки!H81</f>
        <v>Ліворно ГН</v>
      </c>
      <c r="L79" s="57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AF79" s="68"/>
    </row>
    <row r="80" spans="6:32" s="50" customFormat="1" hidden="1" x14ac:dyDescent="0.2">
      <c r="F80" s="50" t="str">
        <f>Фрезеровки!B82</f>
        <v>Колонна 2</v>
      </c>
      <c r="J80" s="50" t="str">
        <f>Фрезеровки!H82</f>
        <v>Лилія S-обр</v>
      </c>
      <c r="L80" s="57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AF80" s="68"/>
    </row>
    <row r="81" spans="6:32" s="50" customFormat="1" hidden="1" x14ac:dyDescent="0.2">
      <c r="F81" s="50" t="str">
        <f>Фрезеровки!B83</f>
        <v>Лабіринт</v>
      </c>
      <c r="J81" s="50" t="str">
        <f>Фрезеровки!H83</f>
        <v>Лилія ВОГН</v>
      </c>
      <c r="L81" s="57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AF81" s="68"/>
    </row>
    <row r="82" spans="6:32" s="50" customFormat="1" hidden="1" x14ac:dyDescent="0.2">
      <c r="F82" s="50" t="str">
        <f>Фрезеровки!B84</f>
        <v>Ланс (без ромбів)</v>
      </c>
      <c r="J82" s="50" t="str">
        <f>Фрезеровки!H84</f>
        <v>Лилія ГН</v>
      </c>
      <c r="L82" s="57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AF82" s="68"/>
    </row>
    <row r="83" spans="6:32" s="50" customFormat="1" hidden="1" x14ac:dyDescent="0.2">
      <c r="F83" s="50" t="str">
        <f>Фрезеровки!B85</f>
        <v>Ліверпуль</v>
      </c>
      <c r="J83" s="50" t="str">
        <f>Фрезеровки!H85</f>
        <v>Лондон S-обр</v>
      </c>
      <c r="L83" s="57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AF83" s="68"/>
    </row>
    <row r="84" spans="6:32" s="50" customFormat="1" hidden="1" x14ac:dyDescent="0.2">
      <c r="F84" s="50" t="str">
        <f>Фрезеровки!B86</f>
        <v>Ліворно</v>
      </c>
      <c r="J84" s="50" t="str">
        <f>Фрезеровки!H86</f>
        <v>Лондон ВОГН</v>
      </c>
      <c r="L84" s="57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AF84" s="68"/>
    </row>
    <row r="85" spans="6:32" s="50" customFormat="1" hidden="1" x14ac:dyDescent="0.2">
      <c r="F85" s="50" t="str">
        <f>Фрезеровки!B87</f>
        <v>Лілль</v>
      </c>
      <c r="J85" s="50" t="str">
        <f>Фрезеровки!H87</f>
        <v>Лондон ГН</v>
      </c>
      <c r="L85" s="57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AF85" s="68"/>
    </row>
    <row r="86" spans="6:32" s="50" customFormat="1" hidden="1" x14ac:dyDescent="0.2">
      <c r="F86" s="50" t="str">
        <f>Фрезеровки!B88</f>
        <v>Лілія</v>
      </c>
      <c r="J86" s="50" t="str">
        <f>Фрезеровки!H88</f>
        <v>Луіза S-обр</v>
      </c>
      <c r="L86" s="57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AF86" s="68"/>
    </row>
    <row r="87" spans="6:32" s="50" customFormat="1" hidden="1" x14ac:dyDescent="0.2">
      <c r="F87" s="50">
        <f>Фрезеровки!B89</f>
        <v>0</v>
      </c>
      <c r="J87" s="50" t="str">
        <f>Фрезеровки!H89</f>
        <v>Луіза ВОГН</v>
      </c>
      <c r="L87" s="57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AF87" s="68"/>
    </row>
    <row r="88" spans="6:32" s="50" customFormat="1" hidden="1" x14ac:dyDescent="0.2">
      <c r="F88" s="50" t="str">
        <f>Фрезеровки!B90</f>
        <v>Лондон</v>
      </c>
      <c r="J88" s="50" t="str">
        <f>Фрезеровки!H90</f>
        <v>Луіза ГН</v>
      </c>
      <c r="L88" s="57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AF88" s="68"/>
    </row>
    <row r="89" spans="6:32" s="50" customFormat="1" hidden="1" x14ac:dyDescent="0.2">
      <c r="F89" s="50" t="str">
        <f>Фрезеровки!B91</f>
        <v>Луіза</v>
      </c>
      <c r="J89" s="50" t="str">
        <f>Фрезеровки!H91</f>
        <v>МаЕстро S-обр</v>
      </c>
      <c r="L89" s="57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AF89" s="68"/>
    </row>
    <row r="90" spans="6:32" s="50" customFormat="1" hidden="1" x14ac:dyDescent="0.2">
      <c r="F90" s="50" t="str">
        <f>Фрезеровки!B92</f>
        <v>Румба</v>
      </c>
      <c r="J90" s="50" t="str">
        <f>Фрезеровки!H92</f>
        <v>МаЕстро ВОГН</v>
      </c>
      <c r="L90" s="57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AF90" s="68"/>
    </row>
    <row r="91" spans="6:32" s="50" customFormat="1" hidden="1" x14ac:dyDescent="0.2">
      <c r="F91" s="50" t="str">
        <f>Фрезеровки!B93</f>
        <v>Марсель</v>
      </c>
      <c r="J91" s="50" t="str">
        <f>Фрезеровки!H93</f>
        <v>МаЕстро ГН</v>
      </c>
      <c r="L91" s="57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AF91" s="68"/>
    </row>
    <row r="92" spans="6:32" s="50" customFormat="1" hidden="1" x14ac:dyDescent="0.2">
      <c r="F92" s="50" t="str">
        <f>Фрезеровки!B94</f>
        <v>Маестро</v>
      </c>
      <c r="J92" s="50" t="str">
        <f>Фрезеровки!H94</f>
        <v>Монако S-обр</v>
      </c>
      <c r="L92" s="57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AF92" s="68"/>
    </row>
    <row r="93" spans="6:32" s="50" customFormat="1" hidden="1" x14ac:dyDescent="0.2">
      <c r="F93" s="50" t="str">
        <f>Фрезеровки!B95</f>
        <v>Мелікано</v>
      </c>
      <c r="J93" s="50" t="str">
        <f>Фрезеровки!H95</f>
        <v>Монако ВОГН (витрина)</v>
      </c>
      <c r="L93" s="57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AF93" s="68"/>
    </row>
    <row r="94" spans="6:32" s="50" customFormat="1" hidden="1" x14ac:dyDescent="0.2">
      <c r="F94" s="50" t="str">
        <f>Фрезеровки!B96</f>
        <v>Милан</v>
      </c>
      <c r="J94" s="50" t="str">
        <f>Фрезеровки!H96</f>
        <v>Монако ГН</v>
      </c>
      <c r="L94" s="57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AF94" s="68"/>
    </row>
    <row r="95" spans="6:32" s="50" customFormat="1" hidden="1" x14ac:dyDescent="0.2">
      <c r="F95" s="50" t="str">
        <f>Фрезеровки!B97</f>
        <v>Модерн</v>
      </c>
      <c r="J95" s="50" t="str">
        <f>Фрезеровки!H97</f>
        <v>Монті ГН</v>
      </c>
      <c r="L95" s="57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AF95" s="68"/>
    </row>
    <row r="96" spans="6:32" s="50" customFormat="1" hidden="1" x14ac:dyDescent="0.2">
      <c r="F96" s="50" t="str">
        <f>Фрезеровки!B98</f>
        <v>Монако</v>
      </c>
      <c r="J96" s="50" t="str">
        <f>Фрезеровки!H98</f>
        <v>Наполі S-обр</v>
      </c>
      <c r="L96" s="57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AF96" s="68"/>
    </row>
    <row r="97" spans="6:32" s="50" customFormat="1" hidden="1" x14ac:dyDescent="0.2">
      <c r="F97" s="50" t="str">
        <f>Фрезеровки!B99</f>
        <v>Монті</v>
      </c>
      <c r="J97" s="50" t="str">
        <f>Фрезеровки!H99</f>
        <v>Наполі ВОГН</v>
      </c>
      <c r="L97" s="57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AF97" s="68"/>
    </row>
    <row r="98" spans="6:32" s="50" customFormat="1" hidden="1" x14ac:dyDescent="0.2">
      <c r="F98" s="50" t="str">
        <f>Фрезеровки!B100</f>
        <v>Монс</v>
      </c>
      <c r="J98" s="50" t="str">
        <f>Фрезеровки!H100</f>
        <v>Наполі ГН</v>
      </c>
      <c r="L98" s="57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AF98" s="68"/>
    </row>
    <row r="99" spans="6:32" s="50" customFormat="1" hidden="1" x14ac:dyDescent="0.2">
      <c r="F99" s="50" t="str">
        <f>Фрезеровки!B101</f>
        <v>Мюнхен</v>
      </c>
      <c r="J99" s="50" t="str">
        <f>Фрезеровки!H101</f>
        <v>Ніцца ГН</v>
      </c>
      <c r="L99" s="57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AF99" s="68"/>
    </row>
    <row r="100" spans="6:32" s="50" customFormat="1" hidden="1" x14ac:dyDescent="0.2">
      <c r="F100" s="50" t="str">
        <f>Фрезеровки!B102</f>
        <v>Наполі</v>
      </c>
      <c r="J100" s="50" t="str">
        <f>Фрезеровки!H102</f>
        <v>Ніцца ВОГН (витрина)</v>
      </c>
      <c r="L100" s="57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AF100" s="68"/>
    </row>
    <row r="101" spans="6:32" s="50" customFormat="1" hidden="1" x14ac:dyDescent="0.2">
      <c r="F101" s="50" t="str">
        <f>Фрезеровки!B103</f>
        <v>Нарвик</v>
      </c>
      <c r="J101" s="50" t="str">
        <f>Фрезеровки!H103</f>
        <v>Ольвія S-обр</v>
      </c>
      <c r="L101" s="57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AF101" s="68"/>
    </row>
    <row r="102" spans="6:32" s="50" customFormat="1" hidden="1" x14ac:dyDescent="0.2">
      <c r="F102" s="50" t="str">
        <f>Фрезеровки!B104</f>
        <v>Нарвик (без декору)</v>
      </c>
      <c r="J102" s="50" t="str">
        <f>Фрезеровки!H104</f>
        <v>Ольвія ВОГН</v>
      </c>
      <c r="L102" s="57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AF102" s="68"/>
    </row>
    <row r="103" spans="6:32" s="50" customFormat="1" hidden="1" x14ac:dyDescent="0.2">
      <c r="F103" s="50" t="str">
        <f>Фрезеровки!B105</f>
        <v>Ніцца</v>
      </c>
      <c r="J103" s="50" t="str">
        <f>Фрезеровки!H105</f>
        <v>Ольвія ГН</v>
      </c>
      <c r="L103" s="57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AF103" s="68"/>
    </row>
    <row r="104" spans="6:32" s="50" customFormat="1" hidden="1" x14ac:dyDescent="0.2">
      <c r="F104" s="50" t="str">
        <f>Фрезеровки!B106</f>
        <v>Ольвія</v>
      </c>
      <c r="J104" s="50" t="str">
        <f>Фрезеровки!H106</f>
        <v>Онікс S-обр</v>
      </c>
      <c r="L104" s="57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AF104" s="68"/>
    </row>
    <row r="105" spans="6:32" s="50" customFormat="1" hidden="1" x14ac:dyDescent="0.2">
      <c r="F105" s="50" t="str">
        <f>Фрезеровки!B107</f>
        <v>Онікс</v>
      </c>
      <c r="J105" s="50" t="str">
        <f>Фрезеровки!H107</f>
        <v>Онікс ВОГН</v>
      </c>
      <c r="L105" s="57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AF105" s="68"/>
    </row>
    <row r="106" spans="6:32" s="50" customFormat="1" hidden="1" x14ac:dyDescent="0.2">
      <c r="F106" s="50" t="str">
        <f>Фрезеровки!B108</f>
        <v>Орлеан</v>
      </c>
      <c r="J106" s="50" t="str">
        <f>Фрезеровки!H108</f>
        <v>Онікс ГН</v>
      </c>
      <c r="L106" s="57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AF106" s="68"/>
    </row>
    <row r="107" spans="6:32" s="50" customFormat="1" hidden="1" x14ac:dyDescent="0.2">
      <c r="F107" s="50" t="str">
        <f>Фрезеровки!B109</f>
        <v>Орлеан (без малюнку)</v>
      </c>
      <c r="J107" s="50" t="str">
        <f>Фрезеровки!H109</f>
        <v>Париж S-обр</v>
      </c>
      <c r="L107" s="57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AF107" s="68"/>
    </row>
    <row r="108" spans="6:32" s="50" customFormat="1" hidden="1" x14ac:dyDescent="0.2">
      <c r="F108" s="50" t="str">
        <f>Фрезеровки!B110</f>
        <v>Павія +Р</v>
      </c>
      <c r="J108" s="50" t="str">
        <f>Фрезеровки!H110</f>
        <v>Париж ВОГН</v>
      </c>
      <c r="L108" s="57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AF108" s="68"/>
    </row>
    <row r="109" spans="6:32" s="50" customFormat="1" hidden="1" x14ac:dyDescent="0.2">
      <c r="F109" s="50" t="str">
        <f>Фрезеровки!B111</f>
        <v>Париж</v>
      </c>
      <c r="J109" s="50" t="str">
        <f>Фрезеровки!H111</f>
        <v>Париж ГН</v>
      </c>
      <c r="L109" s="57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AF109" s="68"/>
    </row>
    <row r="110" spans="6:32" s="50" customFormat="1" hidden="1" x14ac:dyDescent="0.2">
      <c r="F110" s="50" t="str">
        <f>Фрезеровки!B112</f>
        <v>Пезаро</v>
      </c>
      <c r="J110" s="50" t="str">
        <f>Фрезеровки!H112</f>
        <v>Пезаро ГН</v>
      </c>
      <c r="L110" s="57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AF110" s="68"/>
    </row>
    <row r="111" spans="6:32" s="50" customFormat="1" hidden="1" x14ac:dyDescent="0.2">
      <c r="F111" s="50" t="str">
        <f>Фрезеровки!B113</f>
        <v>Пескара</v>
      </c>
      <c r="J111" s="50" t="str">
        <f>Фрезеровки!H113</f>
        <v>Петергоф S-обр</v>
      </c>
      <c r="L111" s="57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AF111" s="68"/>
    </row>
    <row r="112" spans="6:32" s="50" customFormat="1" hidden="1" x14ac:dyDescent="0.2">
      <c r="F112" s="50" t="str">
        <f>Фрезеровки!B114</f>
        <v>Петергоф</v>
      </c>
      <c r="J112" s="50" t="str">
        <f>Фрезеровки!H114</f>
        <v>Петергоф ВОГН</v>
      </c>
      <c r="L112" s="57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AF112" s="68"/>
    </row>
    <row r="113" spans="1:25" hidden="1" x14ac:dyDescent="0.2">
      <c r="A113" s="50"/>
      <c r="B113" s="50"/>
      <c r="C113" s="50"/>
      <c r="D113" s="50"/>
      <c r="E113" s="50"/>
      <c r="F113" s="50" t="str">
        <f>Фрезеровки!B115</f>
        <v>Петра</v>
      </c>
      <c r="G113" s="50"/>
      <c r="H113" s="50"/>
      <c r="I113" s="50"/>
      <c r="J113" s="50" t="str">
        <f>Фрезеровки!H115</f>
        <v>Петергоф ГН</v>
      </c>
      <c r="K113" s="50"/>
      <c r="Y113" s="50"/>
    </row>
    <row r="114" spans="1:25" hidden="1" x14ac:dyDescent="0.2">
      <c r="A114" s="50"/>
      <c r="B114" s="50"/>
      <c r="C114" s="50"/>
      <c r="D114" s="50"/>
      <c r="E114" s="50"/>
      <c r="F114" s="50" t="str">
        <f>Фрезеровки!B116</f>
        <v>Портофіно</v>
      </c>
      <c r="G114" s="50"/>
      <c r="H114" s="50"/>
      <c r="I114" s="50"/>
      <c r="J114" s="50" t="str">
        <f>Фрезеровки!H116</f>
        <v>Петра S-обр</v>
      </c>
      <c r="K114" s="50"/>
      <c r="Y114" s="50"/>
    </row>
    <row r="115" spans="1:25" hidden="1" x14ac:dyDescent="0.2">
      <c r="A115" s="50"/>
      <c r="B115" s="50"/>
      <c r="C115" s="50"/>
      <c r="D115" s="50"/>
      <c r="E115" s="50"/>
      <c r="F115" s="50" t="str">
        <f>Фрезеровки!B117</f>
        <v>Прага 70</v>
      </c>
      <c r="G115" s="50"/>
      <c r="H115" s="50"/>
      <c r="I115" s="50"/>
      <c r="J115" s="50" t="str">
        <f>Фрезеровки!H117</f>
        <v>Петра ГН</v>
      </c>
      <c r="K115" s="50"/>
      <c r="Y115" s="50"/>
    </row>
    <row r="116" spans="1:25" hidden="1" x14ac:dyDescent="0.2">
      <c r="A116" s="50"/>
      <c r="B116" s="50"/>
      <c r="C116" s="50"/>
      <c r="D116" s="50"/>
      <c r="E116" s="50"/>
      <c r="F116" s="50" t="str">
        <f>Фрезеровки!B118</f>
        <v>Прага 140</v>
      </c>
      <c r="G116" s="50"/>
      <c r="H116" s="50"/>
      <c r="I116" s="50"/>
      <c r="J116" s="50" t="str">
        <f>Фрезеровки!H118</f>
        <v>Прага 140 S-обр</v>
      </c>
      <c r="K116" s="50"/>
      <c r="Y116" s="50"/>
    </row>
    <row r="117" spans="1:25" hidden="1" x14ac:dyDescent="0.2">
      <c r="A117" s="50"/>
      <c r="B117" s="50"/>
      <c r="C117" s="50"/>
      <c r="D117" s="50"/>
      <c r="E117" s="50"/>
      <c r="F117" s="50" t="str">
        <f>Фрезеровки!B119</f>
        <v>Прямий</v>
      </c>
      <c r="G117" s="50"/>
      <c r="H117" s="50"/>
      <c r="I117" s="50"/>
      <c r="J117" s="50" t="str">
        <f>Фрезеровки!H119</f>
        <v>Прага 140 ВОГН</v>
      </c>
      <c r="K117" s="50"/>
      <c r="Y117" s="50"/>
    </row>
    <row r="118" spans="1:25" hidden="1" x14ac:dyDescent="0.2">
      <c r="A118" s="50"/>
      <c r="B118" s="50"/>
      <c r="C118" s="50"/>
      <c r="D118" s="50"/>
      <c r="E118" s="50"/>
      <c r="F118" s="50" t="str">
        <f>Фрезеровки!B120</f>
        <v>Равенна</v>
      </c>
      <c r="G118" s="50"/>
      <c r="H118" s="50"/>
      <c r="I118" s="50"/>
      <c r="J118" s="50" t="str">
        <f>Фрезеровки!H120</f>
        <v>Прага 140 ГН</v>
      </c>
      <c r="K118" s="50"/>
      <c r="Y118" s="50"/>
    </row>
    <row r="119" spans="1:25" hidden="1" x14ac:dyDescent="0.2">
      <c r="A119" s="50"/>
      <c r="B119" s="50"/>
      <c r="C119" s="50"/>
      <c r="D119" s="50"/>
      <c r="E119" s="50"/>
      <c r="F119" s="50" t="str">
        <f>Фрезеровки!B121</f>
        <v>Решітка</v>
      </c>
      <c r="G119" s="50"/>
      <c r="H119" s="50"/>
      <c r="I119" s="50"/>
      <c r="J119" s="50" t="str">
        <f>Фрезеровки!H121</f>
        <v>Прага 70 S-обр</v>
      </c>
      <c r="K119" s="50"/>
      <c r="Y119" s="50"/>
    </row>
    <row r="120" spans="1:25" hidden="1" x14ac:dyDescent="0.2">
      <c r="A120" s="50"/>
      <c r="B120" s="50"/>
      <c r="C120" s="50"/>
      <c r="D120" s="50"/>
      <c r="E120" s="50"/>
      <c r="F120" s="50" t="str">
        <f>Фрезеровки!B122</f>
        <v>Ріан</v>
      </c>
      <c r="G120" s="50"/>
      <c r="H120" s="50"/>
      <c r="I120" s="50"/>
      <c r="J120" s="50" t="str">
        <f>Фрезеровки!H122</f>
        <v>Прага 70 ВОГН</v>
      </c>
      <c r="K120" s="50"/>
      <c r="Y120" s="50"/>
    </row>
    <row r="121" spans="1:25" hidden="1" x14ac:dyDescent="0.2">
      <c r="A121" s="50"/>
      <c r="B121" s="50"/>
      <c r="C121" s="50"/>
      <c r="D121" s="50"/>
      <c r="E121" s="50"/>
      <c r="F121" s="50" t="str">
        <f>Фрезеровки!B123</f>
        <v>Ріволі</v>
      </c>
      <c r="G121" s="50"/>
      <c r="H121" s="50"/>
      <c r="I121" s="50"/>
      <c r="J121" s="50" t="str">
        <f>Фрезеровки!H123</f>
        <v>Прага 70 ГН</v>
      </c>
      <c r="K121" s="50"/>
      <c r="Y121" s="50"/>
    </row>
    <row r="122" spans="1:25" hidden="1" x14ac:dyDescent="0.2">
      <c r="A122" s="50"/>
      <c r="B122" s="50"/>
      <c r="C122" s="50"/>
      <c r="D122" s="50"/>
      <c r="E122" s="50"/>
      <c r="F122" s="50" t="str">
        <f>Фрезеровки!B124</f>
        <v>Ріміні</v>
      </c>
      <c r="G122" s="50"/>
      <c r="H122" s="50"/>
      <c r="I122" s="50"/>
      <c r="J122" s="50" t="str">
        <f>Фрезеровки!H124</f>
        <v>Прямий S-обр</v>
      </c>
      <c r="K122" s="50"/>
      <c r="Y122" s="50"/>
    </row>
    <row r="123" spans="1:25" hidden="1" x14ac:dyDescent="0.2">
      <c r="A123" s="50"/>
      <c r="B123" s="50"/>
      <c r="C123" s="50"/>
      <c r="D123" s="50"/>
      <c r="E123" s="50"/>
      <c r="F123" s="50" t="str">
        <f>Фрезеровки!B125</f>
        <v>Саванна</v>
      </c>
      <c r="G123" s="50"/>
      <c r="H123" s="50"/>
      <c r="I123" s="50"/>
      <c r="J123" s="50" t="str">
        <f>Фрезеровки!H125</f>
        <v>Прямий ВОГН</v>
      </c>
      <c r="K123" s="50"/>
      <c r="Y123" s="50"/>
    </row>
    <row r="124" spans="1:25" hidden="1" x14ac:dyDescent="0.2">
      <c r="A124" s="50"/>
      <c r="B124" s="50"/>
      <c r="C124" s="50"/>
      <c r="D124" s="50"/>
      <c r="E124" s="50"/>
      <c r="F124" s="50" t="str">
        <f>Фрезеровки!B126</f>
        <v>Савона</v>
      </c>
      <c r="G124" s="50"/>
      <c r="H124" s="50"/>
      <c r="I124" s="50"/>
      <c r="J124" s="50" t="str">
        <f>Фрезеровки!H126</f>
        <v>Прямий ГН</v>
      </c>
      <c r="K124" s="50"/>
      <c r="Y124" s="50"/>
    </row>
    <row r="125" spans="1:25" hidden="1" x14ac:dyDescent="0.2">
      <c r="A125" s="50"/>
      <c r="B125" s="50"/>
      <c r="C125" s="50"/>
      <c r="D125" s="50"/>
      <c r="E125" s="50"/>
      <c r="F125" s="50" t="str">
        <f>Фрезеровки!B127</f>
        <v>Санторіні (лівий)</v>
      </c>
      <c r="G125" s="50"/>
      <c r="H125" s="50"/>
      <c r="I125" s="50"/>
      <c r="J125" s="50" t="str">
        <f>Фрезеровки!H127</f>
        <v>Равенна ГН</v>
      </c>
      <c r="K125" s="50"/>
      <c r="Y125" s="50"/>
    </row>
    <row r="126" spans="1:25" hidden="1" x14ac:dyDescent="0.2">
      <c r="A126" s="50"/>
      <c r="B126" s="50"/>
      <c r="C126" s="50"/>
      <c r="D126" s="50"/>
      <c r="E126" s="50"/>
      <c r="F126" s="50" t="str">
        <f>Фрезеровки!B128</f>
        <v>Санторіні (правий)</v>
      </c>
      <c r="G126" s="50"/>
      <c r="H126" s="50"/>
      <c r="I126" s="50"/>
      <c r="J126" s="50" t="str">
        <f>Фрезеровки!H128</f>
        <v>Решетка S-обр</v>
      </c>
      <c r="K126" s="50"/>
      <c r="Y126" s="50"/>
    </row>
    <row r="127" spans="1:25" hidden="1" x14ac:dyDescent="0.2">
      <c r="A127" s="50"/>
      <c r="B127" s="50"/>
      <c r="C127" s="50"/>
      <c r="D127" s="50"/>
      <c r="E127" s="50"/>
      <c r="F127" s="50" t="str">
        <f>Фрезеровки!B129</f>
        <v>Севілья</v>
      </c>
      <c r="G127" s="50"/>
      <c r="H127" s="50"/>
      <c r="I127" s="50"/>
      <c r="J127" s="50" t="str">
        <f>Фрезеровки!H129</f>
        <v>Решетка ВОГН</v>
      </c>
      <c r="K127" s="50"/>
      <c r="Y127" s="50"/>
    </row>
    <row r="128" spans="1:25" hidden="1" x14ac:dyDescent="0.2">
      <c r="A128" s="50"/>
      <c r="B128" s="50"/>
      <c r="C128" s="50"/>
      <c r="D128" s="50"/>
      <c r="E128" s="50"/>
      <c r="F128" s="50" t="str">
        <f>Фрезеровки!B130</f>
        <v>Софія</v>
      </c>
      <c r="G128" s="50"/>
      <c r="H128" s="50"/>
      <c r="I128" s="50"/>
      <c r="J128" s="50" t="str">
        <f>Фрезеровки!H130</f>
        <v>Решетка ГН</v>
      </c>
      <c r="K128" s="50"/>
      <c r="Y128" s="50"/>
    </row>
    <row r="129" spans="1:25" hidden="1" x14ac:dyDescent="0.2">
      <c r="A129" s="50"/>
      <c r="B129" s="50"/>
      <c r="C129" s="50"/>
      <c r="D129" s="50"/>
      <c r="E129" s="50"/>
      <c r="F129" s="50" t="str">
        <f>Фрезеровки!B131</f>
        <v>Стокгольм</v>
      </c>
      <c r="G129" s="50"/>
      <c r="H129" s="50"/>
      <c r="I129" s="50"/>
      <c r="J129" s="50" t="str">
        <f>Фрезеровки!H131</f>
        <v>Римини ГН</v>
      </c>
      <c r="K129" s="50"/>
      <c r="Y129" s="50"/>
    </row>
    <row r="130" spans="1:25" hidden="1" x14ac:dyDescent="0.2">
      <c r="A130" s="50"/>
      <c r="B130" s="50"/>
      <c r="C130" s="50"/>
      <c r="D130" s="50"/>
      <c r="E130" s="50"/>
      <c r="F130" s="50" t="str">
        <f>Фрезеровки!B132</f>
        <v>Стен.панель Кайзер</v>
      </c>
      <c r="G130" s="50"/>
      <c r="H130" s="50"/>
      <c r="I130" s="50"/>
      <c r="J130" s="50" t="str">
        <f>Фрезеровки!H132</f>
        <v>Румба ВОГН</v>
      </c>
      <c r="K130" s="50"/>
      <c r="Y130" s="50"/>
    </row>
    <row r="131" spans="1:25" hidden="1" x14ac:dyDescent="0.2">
      <c r="A131" s="50"/>
      <c r="B131" s="50"/>
      <c r="C131" s="50"/>
      <c r="D131" s="50"/>
      <c r="E131" s="50"/>
      <c r="F131" s="50" t="str">
        <f>Фрезеровки!B133</f>
        <v>Стен.панель Комбрі</v>
      </c>
      <c r="G131" s="50"/>
      <c r="H131" s="50"/>
      <c r="I131" s="50"/>
      <c r="J131" s="50" t="str">
        <f>Фрезеровки!H133</f>
        <v>Румба ГН</v>
      </c>
      <c r="K131" s="50"/>
      <c r="Y131" s="50"/>
    </row>
    <row r="132" spans="1:25" hidden="1" x14ac:dyDescent="0.2">
      <c r="A132" s="50"/>
      <c r="B132" s="50"/>
      <c r="C132" s="50"/>
      <c r="D132" s="50"/>
      <c r="E132" s="50"/>
      <c r="F132" s="50" t="str">
        <f>Фрезеровки!B134</f>
        <v>Стен.панель Левадія</v>
      </c>
      <c r="G132" s="50"/>
      <c r="H132" s="50"/>
      <c r="I132" s="50"/>
      <c r="J132" s="50" t="str">
        <f>Фрезеровки!H134</f>
        <v>Санторини S-обр (лівий)</v>
      </c>
      <c r="K132" s="50"/>
      <c r="Y132" s="50"/>
    </row>
    <row r="133" spans="1:25" hidden="1" x14ac:dyDescent="0.2">
      <c r="A133" s="50"/>
      <c r="B133" s="50"/>
      <c r="C133" s="50"/>
      <c r="D133" s="50"/>
      <c r="E133" s="50"/>
      <c r="F133" s="50" t="str">
        <f>Фрезеровки!B135</f>
        <v>Стен.панель Ельба</v>
      </c>
      <c r="G133" s="50"/>
      <c r="H133" s="50"/>
      <c r="I133" s="50"/>
      <c r="J133" s="50" t="str">
        <f>Фрезеровки!H135</f>
        <v>Санторини S-обр (правий)</v>
      </c>
      <c r="K133" s="50"/>
      <c r="Y133" s="50"/>
    </row>
    <row r="134" spans="1:25" hidden="1" x14ac:dyDescent="0.2">
      <c r="A134" s="50"/>
      <c r="B134" s="50"/>
      <c r="C134" s="50"/>
      <c r="D134" s="50"/>
      <c r="E134" s="50"/>
      <c r="F134" s="50" t="str">
        <f>Фрезеровки!B136</f>
        <v>Тартона +Р</v>
      </c>
      <c r="G134" s="50"/>
      <c r="H134" s="50"/>
      <c r="I134" s="50"/>
      <c r="J134" s="50" t="str">
        <f>Фрезеровки!H136</f>
        <v>Санторини ВОГН (лівий)</v>
      </c>
      <c r="K134" s="50"/>
      <c r="Y134" s="50"/>
    </row>
    <row r="135" spans="1:25" hidden="1" x14ac:dyDescent="0.2">
      <c r="A135" s="50"/>
      <c r="B135" s="50"/>
      <c r="C135" s="50"/>
      <c r="D135" s="50"/>
      <c r="E135" s="50"/>
      <c r="F135" s="50" t="str">
        <f>Фрезеровки!B137</f>
        <v>Тель-Авів</v>
      </c>
      <c r="G135" s="50"/>
      <c r="H135" s="50"/>
      <c r="I135" s="50"/>
      <c r="J135" s="50" t="str">
        <f>Фрезеровки!H137</f>
        <v>Санторини ВОГН (правий)</v>
      </c>
      <c r="K135" s="50"/>
      <c r="Y135" s="50"/>
    </row>
    <row r="136" spans="1:25" hidden="1" x14ac:dyDescent="0.2">
      <c r="A136" s="50"/>
      <c r="B136" s="50"/>
      <c r="C136" s="50"/>
      <c r="D136" s="50"/>
      <c r="E136" s="50"/>
      <c r="F136" s="50" t="str">
        <f>Фрезеровки!B138</f>
        <v>Тенея</v>
      </c>
      <c r="G136" s="50"/>
      <c r="H136" s="50"/>
      <c r="I136" s="50"/>
      <c r="J136" s="50" t="str">
        <f>Фрезеровки!H138</f>
        <v>Санторини ГН (лівий)</v>
      </c>
      <c r="K136" s="50"/>
      <c r="Y136" s="50"/>
    </row>
    <row r="137" spans="1:25" hidden="1" x14ac:dyDescent="0.2">
      <c r="A137" s="50"/>
      <c r="B137" s="50"/>
      <c r="C137" s="50"/>
      <c r="D137" s="50"/>
      <c r="E137" s="50"/>
      <c r="F137" s="50" t="str">
        <f>Фрезеровки!B139</f>
        <v>Тренто</v>
      </c>
      <c r="G137" s="50"/>
      <c r="H137" s="50"/>
      <c r="I137" s="50"/>
      <c r="J137" s="50" t="str">
        <f>Фрезеровки!H139</f>
        <v>Санторини ГН (правий)</v>
      </c>
      <c r="K137" s="50"/>
      <c r="Y137" s="50"/>
    </row>
    <row r="138" spans="1:25" hidden="1" x14ac:dyDescent="0.2">
      <c r="A138" s="50"/>
      <c r="B138" s="50"/>
      <c r="C138" s="50"/>
      <c r="D138" s="50"/>
      <c r="E138" s="50"/>
      <c r="F138" s="50" t="str">
        <f>Фрезеровки!B140</f>
        <v>Техно</v>
      </c>
      <c r="G138" s="50"/>
      <c r="H138" s="50"/>
      <c r="I138" s="50"/>
      <c r="J138" s="50" t="str">
        <f>Фрезеровки!H140</f>
        <v>Севилья S-обр</v>
      </c>
      <c r="K138" s="50"/>
      <c r="Y138" s="50"/>
    </row>
    <row r="139" spans="1:25" hidden="1" x14ac:dyDescent="0.2">
      <c r="A139" s="50"/>
      <c r="B139" s="50"/>
      <c r="C139" s="50"/>
      <c r="D139" s="50"/>
      <c r="E139" s="50"/>
      <c r="F139" s="50" t="str">
        <f>Фрезеровки!B141</f>
        <v>Троя (лівий)</v>
      </c>
      <c r="G139" s="50"/>
      <c r="H139" s="50"/>
      <c r="I139" s="50"/>
      <c r="J139" s="50" t="str">
        <f>Фрезеровки!H141</f>
        <v>Севилья ВОГН</v>
      </c>
      <c r="K139" s="50"/>
      <c r="Y139" s="50"/>
    </row>
    <row r="140" spans="1:25" hidden="1" x14ac:dyDescent="0.2">
      <c r="A140" s="50"/>
      <c r="B140" s="50"/>
      <c r="C140" s="50"/>
      <c r="D140" s="50"/>
      <c r="E140" s="50"/>
      <c r="F140" s="50" t="str">
        <f>Фрезеровки!B142</f>
        <v>Троя (правий)</v>
      </c>
      <c r="G140" s="50"/>
      <c r="H140" s="50"/>
      <c r="I140" s="50"/>
      <c r="J140" s="50" t="str">
        <f>Фрезеровки!H142</f>
        <v>Севилья ГН</v>
      </c>
      <c r="K140" s="50"/>
      <c r="Y140" s="50"/>
    </row>
    <row r="141" spans="1:25" hidden="1" x14ac:dyDescent="0.2">
      <c r="A141" s="50"/>
      <c r="B141" s="50"/>
      <c r="C141" s="50"/>
      <c r="D141" s="50"/>
      <c r="E141" s="50"/>
      <c r="F141" s="50" t="str">
        <f>Фрезеровки!B143</f>
        <v>Тулон</v>
      </c>
      <c r="G141" s="50"/>
      <c r="H141" s="50"/>
      <c r="I141" s="50"/>
      <c r="J141" s="50" t="str">
        <f>Фрезеровки!H143</f>
        <v>Софія S-обр</v>
      </c>
      <c r="K141" s="50"/>
      <c r="Y141" s="50"/>
    </row>
    <row r="142" spans="1:25" hidden="1" x14ac:dyDescent="0.2">
      <c r="A142" s="50"/>
      <c r="B142" s="50"/>
      <c r="C142" s="50"/>
      <c r="D142" s="50"/>
      <c r="E142" s="50"/>
      <c r="F142" s="50" t="str">
        <f>Фрезеровки!B144</f>
        <v>Тулуза</v>
      </c>
      <c r="G142" s="50"/>
      <c r="H142" s="50"/>
      <c r="I142" s="50"/>
      <c r="J142" s="50" t="str">
        <f>Фрезеровки!H144</f>
        <v>Софія ВОГН</v>
      </c>
      <c r="K142" s="50"/>
      <c r="Y142" s="50"/>
    </row>
    <row r="143" spans="1:25" hidden="1" x14ac:dyDescent="0.2">
      <c r="A143" s="50"/>
      <c r="B143" s="50"/>
      <c r="C143" s="50"/>
      <c r="D143" s="50"/>
      <c r="E143" s="50"/>
      <c r="F143" s="50" t="str">
        <f>Фрезеровки!B145</f>
        <v>Турін</v>
      </c>
      <c r="G143" s="50"/>
      <c r="H143" s="50"/>
      <c r="I143" s="50"/>
      <c r="J143" s="50" t="str">
        <f>Фрезеровки!H145</f>
        <v>Софія ГН</v>
      </c>
      <c r="K143" s="50"/>
      <c r="Y143" s="50"/>
    </row>
    <row r="144" spans="1:25" hidden="1" x14ac:dyDescent="0.2">
      <c r="A144" s="50"/>
      <c r="B144" s="50"/>
      <c r="C144" s="50"/>
      <c r="D144" s="50"/>
      <c r="E144" s="50"/>
      <c r="F144" s="50" t="str">
        <f>Фрезеровки!B146</f>
        <v>Фігурний Болонья (лівий)</v>
      </c>
      <c r="G144" s="50"/>
      <c r="H144" s="50"/>
      <c r="I144" s="50"/>
      <c r="J144" s="50" t="str">
        <f>Фрезеровки!H146</f>
        <v>Стокгольм S-обр</v>
      </c>
      <c r="K144" s="50"/>
      <c r="Y144" s="50"/>
    </row>
    <row r="145" spans="1:25" hidden="1" x14ac:dyDescent="0.2">
      <c r="A145" s="50"/>
      <c r="B145" s="50"/>
      <c r="C145" s="50"/>
      <c r="D145" s="50"/>
      <c r="E145" s="50"/>
      <c r="F145" s="144" t="str">
        <f>Фрезеровки!B147</f>
        <v>Фігурний Болонья (правий)</v>
      </c>
      <c r="G145" s="50"/>
      <c r="H145" s="50"/>
      <c r="I145" s="50"/>
      <c r="J145" s="50" t="str">
        <f>Фрезеровки!H147</f>
        <v>Стокгольм ВОГН</v>
      </c>
      <c r="K145" s="50"/>
      <c r="Y145" s="50"/>
    </row>
    <row r="146" spans="1:25" hidden="1" x14ac:dyDescent="0.2">
      <c r="A146" s="50"/>
      <c r="B146" s="50"/>
      <c r="C146" s="50"/>
      <c r="D146" s="50"/>
      <c r="E146" s="50"/>
      <c r="F146" s="144" t="str">
        <f>Фрезеровки!B148</f>
        <v>Фігурний Валенсія (лівий)</v>
      </c>
      <c r="G146" s="50"/>
      <c r="H146" s="50"/>
      <c r="I146" s="50"/>
      <c r="J146" s="50" t="str">
        <f>Фрезеровки!H148</f>
        <v>Стокгольм ГН</v>
      </c>
      <c r="K146" s="50"/>
      <c r="Y146" s="50"/>
    </row>
    <row r="147" spans="1:25" hidden="1" x14ac:dyDescent="0.2">
      <c r="A147" s="50"/>
      <c r="B147" s="50"/>
      <c r="C147" s="50"/>
      <c r="D147" s="50"/>
      <c r="E147" s="50"/>
      <c r="F147" s="144" t="str">
        <f>Фрезеровки!B149</f>
        <v>Фігурний Валенсія (правий)</v>
      </c>
      <c r="G147" s="50"/>
      <c r="H147" s="50"/>
      <c r="I147" s="50"/>
      <c r="J147" s="50" t="str">
        <f>Фрезеровки!H149</f>
        <v>Тенея S-обр</v>
      </c>
      <c r="K147" s="50"/>
      <c r="Y147" s="50"/>
    </row>
    <row r="148" spans="1:25" hidden="1" x14ac:dyDescent="0.2">
      <c r="A148" s="50"/>
      <c r="B148" s="50"/>
      <c r="C148" s="50"/>
      <c r="D148" s="50"/>
      <c r="E148" s="50"/>
      <c r="F148" s="144" t="str">
        <f>Фрезеровки!B150</f>
        <v>Фігурний Марсель (лівий)</v>
      </c>
      <c r="G148" s="50"/>
      <c r="H148" s="50"/>
      <c r="I148" s="50"/>
      <c r="J148" s="50" t="str">
        <f>Фрезеровки!H150</f>
        <v>Тенея ВОГН (витрина)</v>
      </c>
      <c r="K148" s="50"/>
      <c r="Y148" s="50"/>
    </row>
    <row r="149" spans="1:25" hidden="1" x14ac:dyDescent="0.2">
      <c r="A149" s="50"/>
      <c r="B149" s="50"/>
      <c r="C149" s="50"/>
      <c r="D149" s="50"/>
      <c r="E149" s="50"/>
      <c r="F149" s="144" t="str">
        <f>Фрезеровки!B151</f>
        <v>Фігурний Марсель (правий)</v>
      </c>
      <c r="G149" s="50"/>
      <c r="H149" s="50"/>
      <c r="I149" s="50"/>
      <c r="J149" s="50" t="str">
        <f>Фрезеровки!H151</f>
        <v>Тенея ГН</v>
      </c>
      <c r="K149" s="50"/>
      <c r="Y149" s="50"/>
    </row>
    <row r="150" spans="1:25" hidden="1" x14ac:dyDescent="0.2">
      <c r="A150" s="50"/>
      <c r="B150" s="50"/>
      <c r="C150" s="50"/>
      <c r="D150" s="50"/>
      <c r="E150" s="50"/>
      <c r="F150" s="144" t="str">
        <f>Фрезеровки!B152</f>
        <v>Фігурний Севилья (лівий)</v>
      </c>
      <c r="G150" s="50"/>
      <c r="H150" s="50"/>
      <c r="I150" s="50"/>
      <c r="J150" s="50" t="str">
        <f>Фрезеровки!H152</f>
        <v>Техно S-обр</v>
      </c>
      <c r="K150" s="50"/>
      <c r="Y150" s="50"/>
    </row>
    <row r="151" spans="1:25" hidden="1" x14ac:dyDescent="0.2">
      <c r="A151" s="50"/>
      <c r="B151" s="50"/>
      <c r="C151" s="50"/>
      <c r="D151" s="50"/>
      <c r="E151" s="50"/>
      <c r="F151" s="144" t="str">
        <f>Фрезеровки!B153</f>
        <v>Фігурний Севилья (правий)</v>
      </c>
      <c r="G151" s="50"/>
      <c r="H151" s="50"/>
      <c r="I151" s="50"/>
      <c r="J151" s="50" t="str">
        <f>Фрезеровки!H153</f>
        <v>Техно ВОГН</v>
      </c>
      <c r="K151" s="50"/>
      <c r="Y151" s="50"/>
    </row>
    <row r="152" spans="1:25" hidden="1" x14ac:dyDescent="0.2">
      <c r="A152" s="50"/>
      <c r="B152" s="50"/>
      <c r="C152" s="50"/>
      <c r="D152" s="50"/>
      <c r="E152" s="50"/>
      <c r="F152" s="144" t="str">
        <f>Фрезеровки!B154</f>
        <v>Фігурний Софія (лівий)</v>
      </c>
      <c r="G152" s="50"/>
      <c r="H152" s="50"/>
      <c r="I152" s="50"/>
      <c r="J152" s="50" t="str">
        <f>Фрезеровки!H154</f>
        <v>Техно ГН</v>
      </c>
      <c r="K152" s="50"/>
      <c r="Y152" s="50"/>
    </row>
    <row r="153" spans="1:25" hidden="1" x14ac:dyDescent="0.2">
      <c r="A153" s="50"/>
      <c r="B153" s="50"/>
      <c r="C153" s="50"/>
      <c r="D153" s="50"/>
      <c r="E153" s="50"/>
      <c r="F153" s="155" t="str">
        <f>Фрезеровки!B155</f>
        <v>Фігурний Софія (правий)</v>
      </c>
      <c r="G153" s="50"/>
      <c r="H153" s="50"/>
      <c r="I153" s="50"/>
      <c r="J153" s="50" t="str">
        <f>Фрезеровки!H155</f>
        <v>Троя ВОГН (лівий)</v>
      </c>
      <c r="K153" s="50"/>
      <c r="Y153" s="50"/>
    </row>
    <row r="154" spans="1:25" hidden="1" x14ac:dyDescent="0.2">
      <c r="A154" s="50"/>
      <c r="B154" s="50"/>
      <c r="C154" s="50"/>
      <c r="D154" s="50"/>
      <c r="E154" s="50"/>
      <c r="F154" s="155" t="str">
        <f>Фрезеровки!B156</f>
        <v>Фігурний Тулон (лівий)</v>
      </c>
      <c r="G154" s="50"/>
      <c r="H154" s="50"/>
      <c r="I154" s="50"/>
      <c r="J154" s="50" t="str">
        <f>Фрезеровки!H156</f>
        <v>Троя ВОГН (правий)</v>
      </c>
      <c r="K154" s="50"/>
      <c r="Y154" s="50"/>
    </row>
    <row r="155" spans="1:25" hidden="1" x14ac:dyDescent="0.2">
      <c r="A155" s="50"/>
      <c r="B155" s="50"/>
      <c r="C155" s="50"/>
      <c r="D155" s="50"/>
      <c r="E155" s="50"/>
      <c r="F155" s="50" t="str">
        <f>Фрезеровки!B157</f>
        <v>Фігурний Тулон (правий)</v>
      </c>
      <c r="G155" s="50"/>
      <c r="H155" s="50"/>
      <c r="I155" s="50"/>
      <c r="J155" s="50" t="str">
        <f>Фрезеровки!H157</f>
        <v>Троя ГН (лівий)</v>
      </c>
      <c r="K155" s="50"/>
      <c r="Y155" s="50"/>
    </row>
    <row r="156" spans="1:25" hidden="1" x14ac:dyDescent="0.2">
      <c r="A156" s="50"/>
      <c r="B156" s="50"/>
      <c r="C156" s="50"/>
      <c r="D156" s="50"/>
      <c r="E156" s="50"/>
      <c r="F156" s="50" t="str">
        <f>Фрезеровки!B158</f>
        <v>Флоренція</v>
      </c>
      <c r="G156" s="50"/>
      <c r="H156" s="50"/>
      <c r="I156" s="50"/>
      <c r="J156" s="50" t="str">
        <f>Фрезеровки!H158</f>
        <v>Троя ГН (правий)</v>
      </c>
      <c r="K156" s="50"/>
      <c r="Y156" s="50"/>
    </row>
    <row r="157" spans="1:25" hidden="1" x14ac:dyDescent="0.2">
      <c r="A157" s="50"/>
      <c r="B157" s="50"/>
      <c r="C157" s="50"/>
      <c r="D157" s="50"/>
      <c r="E157" s="50"/>
      <c r="F157" s="50" t="str">
        <f>Фрезеровки!B159</f>
        <v>Фортуна (лівий)</v>
      </c>
      <c r="G157" s="50"/>
      <c r="H157" s="50"/>
      <c r="I157" s="50"/>
      <c r="J157" s="50" t="str">
        <f>Фрезеровки!H159</f>
        <v>Тулон S-обр</v>
      </c>
      <c r="K157" s="50"/>
      <c r="Y157" s="50"/>
    </row>
    <row r="158" spans="1:25" hidden="1" x14ac:dyDescent="0.2">
      <c r="A158" s="50"/>
      <c r="B158" s="50"/>
      <c r="C158" s="50"/>
      <c r="D158" s="50"/>
      <c r="E158" s="50"/>
      <c r="F158" s="50" t="str">
        <f>Фрезеровки!B160</f>
        <v>Фортуна (правий)</v>
      </c>
      <c r="G158" s="50"/>
      <c r="H158" s="50"/>
      <c r="I158" s="50"/>
      <c r="J158" s="50" t="str">
        <f>Фрезеровки!H160</f>
        <v>Тулон ВОГН</v>
      </c>
      <c r="K158" s="50"/>
      <c r="Y158" s="50"/>
    </row>
    <row r="159" spans="1:25" hidden="1" x14ac:dyDescent="0.2">
      <c r="A159" s="50"/>
      <c r="B159" s="50"/>
      <c r="C159" s="50"/>
      <c r="D159" s="50"/>
      <c r="E159" s="50"/>
      <c r="F159" s="50" t="str">
        <f>Фрезеровки!B161</f>
        <v>Честер</v>
      </c>
      <c r="G159" s="50"/>
      <c r="H159" s="50"/>
      <c r="I159" s="50"/>
      <c r="J159" s="50" t="str">
        <f>Фрезеровки!H161</f>
        <v>Тулон ГН</v>
      </c>
      <c r="K159" s="50"/>
      <c r="Y159" s="50"/>
    </row>
    <row r="160" spans="1:25" hidden="1" x14ac:dyDescent="0.2">
      <c r="A160" s="50"/>
      <c r="B160" s="50"/>
      <c r="C160" s="50"/>
      <c r="D160" s="50"/>
      <c r="E160" s="50"/>
      <c r="F160" s="50">
        <f>Фрезеровки!B162</f>
        <v>0</v>
      </c>
      <c r="G160" s="50"/>
      <c r="H160" s="50"/>
      <c r="I160" s="50"/>
      <c r="J160" s="50" t="str">
        <f>Фрезеровки!H162</f>
        <v>Турин S-обр</v>
      </c>
      <c r="K160" s="50"/>
      <c r="Y160" s="50"/>
    </row>
    <row r="161" spans="1:25" hidden="1" x14ac:dyDescent="0.2">
      <c r="A161" s="50"/>
      <c r="B161" s="50"/>
      <c r="C161" s="50"/>
      <c r="D161" s="50"/>
      <c r="E161" s="50"/>
      <c r="F161" s="132">
        <f>Фрезеровки!B163</f>
        <v>0</v>
      </c>
      <c r="G161" s="50"/>
      <c r="H161" s="50"/>
      <c r="I161" s="50"/>
      <c r="J161" s="50" t="str">
        <f>Фрезеровки!H163</f>
        <v>Турин ВОГН</v>
      </c>
      <c r="K161" s="50"/>
      <c r="Y161" s="50"/>
    </row>
    <row r="162" spans="1:25" hidden="1" x14ac:dyDescent="0.2">
      <c r="A162" s="50"/>
      <c r="B162" s="50"/>
      <c r="C162" s="50"/>
      <c r="D162" s="50"/>
      <c r="E162" s="50"/>
      <c r="F162" s="50"/>
      <c r="G162" s="50"/>
      <c r="H162" s="50"/>
      <c r="I162" s="50"/>
      <c r="J162" s="50" t="str">
        <f>Фрезеровки!H164</f>
        <v>Турин ГН</v>
      </c>
      <c r="K162" s="50"/>
      <c r="Y162" s="50"/>
    </row>
    <row r="163" spans="1:25" hidden="1" x14ac:dyDescent="0.2">
      <c r="A163" s="50"/>
      <c r="B163" s="50"/>
      <c r="C163" s="50"/>
      <c r="D163" s="50"/>
      <c r="E163" s="50"/>
      <c r="F163" s="50"/>
      <c r="G163" s="50"/>
      <c r="H163" s="50"/>
      <c r="I163" s="50"/>
      <c r="J163" s="50" t="str">
        <f>Фрезеровки!H165</f>
        <v>Флоренція S-обр</v>
      </c>
      <c r="K163" s="50"/>
      <c r="Y163" s="50"/>
    </row>
    <row r="164" spans="1:25" hidden="1" x14ac:dyDescent="0.2">
      <c r="A164" s="50"/>
      <c r="B164" s="50"/>
      <c r="C164" s="50"/>
      <c r="D164" s="50"/>
      <c r="E164" s="50"/>
      <c r="F164" s="50"/>
      <c r="G164" s="50"/>
      <c r="H164" s="50"/>
      <c r="I164" s="50"/>
      <c r="J164" s="50" t="str">
        <f>Фрезеровки!H166</f>
        <v>Флоренція ВОГН</v>
      </c>
      <c r="K164" s="50"/>
      <c r="Y164" s="50"/>
    </row>
    <row r="165" spans="1:25" hidden="1" x14ac:dyDescent="0.2">
      <c r="A165" s="50"/>
      <c r="B165" s="50"/>
      <c r="C165" s="50"/>
      <c r="D165" s="50"/>
      <c r="E165" s="50"/>
      <c r="F165" s="50"/>
      <c r="G165" s="50"/>
      <c r="H165" s="50"/>
      <c r="I165" s="50"/>
      <c r="J165" s="50" t="str">
        <f>Фрезеровки!H167</f>
        <v>Флоренція ГН</v>
      </c>
      <c r="K165" s="50"/>
      <c r="Y165" s="50"/>
    </row>
    <row r="166" spans="1:25" hidden="1" x14ac:dyDescent="0.2">
      <c r="A166" s="50"/>
      <c r="B166" s="50"/>
      <c r="C166" s="50"/>
      <c r="D166" s="50"/>
      <c r="E166" s="50"/>
      <c r="F166" s="50"/>
      <c r="G166" s="50"/>
      <c r="H166" s="50"/>
      <c r="I166" s="50"/>
      <c r="J166" s="50" t="str">
        <f>Фрезеровки!H168</f>
        <v>Фортуна S-обр (лівий)</v>
      </c>
      <c r="K166" s="50"/>
      <c r="Y166" s="50"/>
    </row>
    <row r="167" spans="1:25" hidden="1" x14ac:dyDescent="0.2">
      <c r="A167" s="50"/>
      <c r="B167" s="50"/>
      <c r="C167" s="50"/>
      <c r="D167" s="50"/>
      <c r="E167" s="50"/>
      <c r="F167" s="50"/>
      <c r="G167" s="50"/>
      <c r="H167" s="50"/>
      <c r="I167" s="50"/>
      <c r="J167" s="144" t="str">
        <f>Фрезеровки!H169</f>
        <v>Фортуна S-обр (правий)</v>
      </c>
      <c r="K167" s="50"/>
      <c r="Y167" s="50"/>
    </row>
    <row r="168" spans="1:25" hidden="1" x14ac:dyDescent="0.2">
      <c r="A168" s="50"/>
      <c r="B168" s="50"/>
      <c r="C168" s="50"/>
      <c r="D168" s="50"/>
      <c r="E168" s="50"/>
      <c r="F168" s="50"/>
      <c r="G168" s="50"/>
      <c r="H168" s="50"/>
      <c r="I168" s="50"/>
      <c r="J168" s="144" t="str">
        <f>Фрезеровки!H170</f>
        <v>Фортуна ВОГН (лівий)</v>
      </c>
      <c r="K168" s="50"/>
      <c r="Y168" s="50"/>
    </row>
    <row r="169" spans="1:25" hidden="1" x14ac:dyDescent="0.2">
      <c r="A169" s="50"/>
      <c r="B169" s="50"/>
      <c r="C169" s="50"/>
      <c r="D169" s="50"/>
      <c r="E169" s="50"/>
      <c r="F169" s="50"/>
      <c r="G169" s="50"/>
      <c r="H169" s="50"/>
      <c r="I169" s="50"/>
      <c r="J169" s="50" t="str">
        <f>Фрезеровки!H171</f>
        <v>Фортуна ВОГН (правий)</v>
      </c>
      <c r="K169" s="50"/>
      <c r="Y169" s="50"/>
    </row>
    <row r="170" spans="1:25" hidden="1" x14ac:dyDescent="0.2">
      <c r="A170" s="50"/>
      <c r="B170" s="50"/>
      <c r="C170" s="50"/>
      <c r="D170" s="50"/>
      <c r="E170" s="50"/>
      <c r="F170" s="50"/>
      <c r="G170" s="50"/>
      <c r="H170" s="50"/>
      <c r="I170" s="50"/>
      <c r="J170" s="50" t="str">
        <f>Фрезеровки!H172</f>
        <v>Фортуна ГН (лівий)</v>
      </c>
      <c r="K170" s="50"/>
      <c r="Y170" s="50"/>
    </row>
    <row r="171" spans="1:25" hidden="1" x14ac:dyDescent="0.2">
      <c r="A171" s="50"/>
      <c r="B171" s="50"/>
      <c r="C171" s="50"/>
      <c r="D171" s="50"/>
      <c r="E171" s="50"/>
      <c r="F171" s="50"/>
      <c r="G171" s="50"/>
      <c r="H171" s="50"/>
      <c r="I171" s="50"/>
      <c r="J171" s="50" t="str">
        <f>Фрезеровки!H173</f>
        <v>Фортуна ГН (правий)</v>
      </c>
      <c r="K171" s="50"/>
      <c r="Y171" s="50"/>
    </row>
    <row r="172" spans="1:25" hidden="1" x14ac:dyDescent="0.2">
      <c r="A172" s="50"/>
      <c r="B172" s="50"/>
      <c r="C172" s="50"/>
      <c r="D172" s="50"/>
      <c r="E172" s="50"/>
      <c r="F172" s="50"/>
      <c r="G172" s="50"/>
      <c r="H172" s="50"/>
      <c r="I172" s="50"/>
      <c r="J172" s="155">
        <f>Фрезеровки!H174</f>
        <v>0</v>
      </c>
      <c r="K172" s="50"/>
      <c r="Y172" s="50"/>
    </row>
    <row r="173" spans="1:25" hidden="1" x14ac:dyDescent="0.2">
      <c r="A173" s="50"/>
      <c r="B173" s="50"/>
      <c r="C173" s="50"/>
      <c r="D173" s="50"/>
      <c r="E173" s="50"/>
      <c r="F173" s="50"/>
      <c r="G173" s="50"/>
      <c r="H173" s="50"/>
      <c r="I173" s="50"/>
      <c r="J173" s="155">
        <f>Фрезеровки!H175</f>
        <v>0</v>
      </c>
      <c r="K173" s="50"/>
      <c r="Y173" s="50"/>
    </row>
    <row r="174" spans="1:25" hidden="1" x14ac:dyDescent="0.2">
      <c r="A174" s="50"/>
      <c r="B174" s="50"/>
      <c r="C174" s="50"/>
      <c r="D174" s="50"/>
      <c r="E174" s="50"/>
      <c r="F174" s="50"/>
      <c r="G174" s="50"/>
      <c r="H174" s="50"/>
      <c r="I174" s="50"/>
      <c r="J174" s="155">
        <f>Фрезеровки!H176</f>
        <v>0</v>
      </c>
      <c r="K174" s="50"/>
      <c r="Y174" s="50"/>
    </row>
    <row r="175" spans="1:25" hidden="1" x14ac:dyDescent="0.2">
      <c r="A175" s="50"/>
      <c r="B175" s="50"/>
      <c r="C175" s="50"/>
      <c r="D175" s="50"/>
      <c r="E175" s="50"/>
      <c r="F175" s="50"/>
      <c r="G175" s="50"/>
      <c r="H175" s="50"/>
      <c r="I175" s="50"/>
      <c r="J175" s="132">
        <f>Фрезеровки!H177</f>
        <v>0</v>
      </c>
      <c r="K175" s="50"/>
      <c r="Y175" s="50"/>
    </row>
    <row r="176" spans="1:25" hidden="1" x14ac:dyDescent="0.2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Y176" s="50"/>
    </row>
    <row r="177" spans="1:33" hidden="1" x14ac:dyDescent="0.2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Y177" s="50"/>
    </row>
    <row r="178" spans="1:33" hidden="1" x14ac:dyDescent="0.2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Y178" s="50"/>
    </row>
    <row r="179" spans="1:33" hidden="1" x14ac:dyDescent="0.2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Y179" s="50"/>
    </row>
    <row r="180" spans="1:33" hidden="1" x14ac:dyDescent="0.2">
      <c r="A180" s="5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Y180" s="50"/>
    </row>
    <row r="181" spans="1:33" hidden="1" x14ac:dyDescent="0.2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Y181" s="50"/>
    </row>
    <row r="182" spans="1:33" hidden="1" x14ac:dyDescent="0.2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Y182" s="50"/>
    </row>
    <row r="183" spans="1:33" hidden="1" x14ac:dyDescent="0.2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Y183" s="50"/>
    </row>
    <row r="184" spans="1:33" hidden="1" x14ac:dyDescent="0.2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Y184" s="50"/>
    </row>
    <row r="185" spans="1:33" hidden="1" x14ac:dyDescent="0.2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Y185" s="50"/>
    </row>
    <row r="186" spans="1:33" hidden="1" x14ac:dyDescent="0.2">
      <c r="A186" s="5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Y186" s="50"/>
    </row>
    <row r="187" spans="1:33" x14ac:dyDescent="0.2">
      <c r="A187"/>
      <c r="B187"/>
      <c r="C187"/>
      <c r="D187"/>
      <c r="E187"/>
      <c r="F187"/>
      <c r="G187"/>
      <c r="H187"/>
      <c r="I187"/>
      <c r="J187"/>
    </row>
    <row r="188" spans="1:33" s="51" customFormat="1" ht="18.75" customHeight="1" x14ac:dyDescent="0.2">
      <c r="A188" s="4" t="s">
        <v>477</v>
      </c>
      <c r="B188" s="4"/>
      <c r="C188" s="4"/>
      <c r="D188" s="194"/>
      <c r="E188" s="194"/>
      <c r="F188" s="4" t="s">
        <v>328</v>
      </c>
      <c r="G188" s="4" t="s">
        <v>353</v>
      </c>
      <c r="H188" s="192">
        <f ca="1">TODAY()</f>
        <v>45943</v>
      </c>
      <c r="I188" s="192"/>
      <c r="J188" s="193"/>
      <c r="L188" s="65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Z188" s="69"/>
      <c r="AA188" s="69"/>
      <c r="AB188" s="69"/>
      <c r="AC188" s="69"/>
      <c r="AD188" s="69"/>
      <c r="AE188" s="69"/>
      <c r="AF188" s="70"/>
      <c r="AG188" s="69"/>
    </row>
    <row r="189" spans="1:33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</row>
    <row r="190" spans="1:33" ht="18.75" customHeight="1" x14ac:dyDescent="0.2">
      <c r="A190" s="209" t="s">
        <v>329</v>
      </c>
      <c r="B190" s="209"/>
      <c r="C190" s="196" t="s">
        <v>178</v>
      </c>
      <c r="D190" s="197"/>
      <c r="E190" s="197"/>
      <c r="F190" s="197"/>
      <c r="G190"/>
      <c r="H190"/>
      <c r="I190"/>
      <c r="J190" s="104"/>
    </row>
    <row r="191" spans="1:33" x14ac:dyDescent="0.2">
      <c r="A191"/>
      <c r="B191"/>
      <c r="C191"/>
      <c r="D191"/>
      <c r="E191"/>
      <c r="F191"/>
      <c r="G191"/>
      <c r="H191"/>
      <c r="I191"/>
      <c r="J191"/>
    </row>
    <row r="192" spans="1:33" s="52" customFormat="1" ht="18.75" customHeight="1" x14ac:dyDescent="0.2">
      <c r="A192" s="3" t="s">
        <v>330</v>
      </c>
      <c r="B192" s="3"/>
      <c r="C192" s="194"/>
      <c r="D192" s="195"/>
      <c r="E192" s="195"/>
      <c r="F192" s="195"/>
      <c r="G192" s="3"/>
      <c r="H192" s="200" t="s">
        <v>340</v>
      </c>
      <c r="I192" s="201"/>
      <c r="J192" s="203"/>
      <c r="L192" s="65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Z192" s="71"/>
      <c r="AA192" s="71"/>
      <c r="AB192" s="71"/>
      <c r="AC192" s="71"/>
      <c r="AD192" s="71"/>
      <c r="AE192" s="71"/>
      <c r="AF192" s="72"/>
      <c r="AG192" s="71"/>
    </row>
    <row r="193" spans="1:33" s="52" customFormat="1" ht="18.75" customHeight="1" x14ac:dyDescent="0.2">
      <c r="A193" s="63" t="s">
        <v>2</v>
      </c>
      <c r="C193" s="198"/>
      <c r="D193" s="198"/>
      <c r="E193" s="199"/>
      <c r="F193" s="199"/>
      <c r="G193" s="3"/>
      <c r="H193" s="202"/>
      <c r="I193" s="201"/>
      <c r="J193" s="204"/>
      <c r="L193" s="65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Z193" s="71"/>
      <c r="AA193" s="71"/>
      <c r="AB193" s="71"/>
      <c r="AC193" s="71"/>
      <c r="AD193" s="71"/>
      <c r="AE193" s="71"/>
      <c r="AF193" s="72"/>
      <c r="AG193" s="71"/>
    </row>
    <row r="194" spans="1:33" x14ac:dyDescent="0.2">
      <c r="A194"/>
      <c r="B194"/>
      <c r="C194"/>
      <c r="D194"/>
      <c r="E194"/>
      <c r="F194"/>
      <c r="G194"/>
      <c r="H194"/>
      <c r="I194"/>
      <c r="J194"/>
      <c r="AF194" s="72"/>
    </row>
    <row r="195" spans="1:33" x14ac:dyDescent="0.2">
      <c r="A195" s="64" t="s">
        <v>331</v>
      </c>
      <c r="B195"/>
      <c r="C195"/>
      <c r="D195"/>
      <c r="E195"/>
      <c r="F195" s="64" t="s">
        <v>332</v>
      </c>
      <c r="G195"/>
      <c r="H195"/>
      <c r="I195"/>
      <c r="J195" s="2" t="s">
        <v>341</v>
      </c>
      <c r="AF195" s="72"/>
    </row>
    <row r="196" spans="1:33" s="52" customFormat="1" ht="21" customHeight="1" x14ac:dyDescent="0.2">
      <c r="A196" s="205">
        <v>1</v>
      </c>
      <c r="B196" s="205"/>
      <c r="C196" s="205"/>
      <c r="D196" s="205"/>
      <c r="E196" s="4"/>
      <c r="F196" s="205">
        <v>1</v>
      </c>
      <c r="G196" s="205"/>
      <c r="H196" s="205"/>
      <c r="I196" s="4"/>
      <c r="J196" s="8"/>
      <c r="L196" s="65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Z196" s="71"/>
      <c r="AA196" s="71"/>
      <c r="AB196" s="71"/>
      <c r="AC196" s="71"/>
      <c r="AD196" s="71"/>
      <c r="AE196" s="71"/>
      <c r="AF196" s="72"/>
      <c r="AG196" s="71"/>
    </row>
    <row r="197" spans="1:33" ht="6.75" customHeight="1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33" s="53" customFormat="1" ht="25.5" customHeight="1" thickBot="1" x14ac:dyDescent="0.25">
      <c r="A198" s="7" t="s">
        <v>0</v>
      </c>
      <c r="B198" s="7" t="s">
        <v>333</v>
      </c>
      <c r="C198" s="7" t="s">
        <v>1</v>
      </c>
      <c r="D198" s="7" t="s">
        <v>344</v>
      </c>
      <c r="E198" s="157" t="s">
        <v>334</v>
      </c>
      <c r="F198" s="7" t="s">
        <v>335</v>
      </c>
      <c r="G198" s="7" t="s">
        <v>336</v>
      </c>
      <c r="H198" s="7" t="s">
        <v>337</v>
      </c>
      <c r="I198" s="7" t="s">
        <v>338</v>
      </c>
      <c r="J198" s="7" t="s">
        <v>339</v>
      </c>
      <c r="L198" s="80" t="s">
        <v>116</v>
      </c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Z198" s="73"/>
      <c r="AA198" s="73"/>
      <c r="AB198" s="73"/>
      <c r="AC198" s="73"/>
      <c r="AD198" s="73"/>
      <c r="AE198" s="73"/>
      <c r="AF198" s="74"/>
      <c r="AG198" s="137">
        <v>7.0000000000000007E-2</v>
      </c>
    </row>
    <row r="199" spans="1:33" s="52" customFormat="1" ht="16.5" customHeight="1" thickBot="1" x14ac:dyDescent="0.25">
      <c r="A199" s="187" t="s">
        <v>342</v>
      </c>
      <c r="B199" s="188"/>
      <c r="C199" s="6"/>
      <c r="D199" s="156" t="s">
        <v>343</v>
      </c>
      <c r="E199" s="160"/>
      <c r="F199" s="14"/>
      <c r="G199" s="14"/>
      <c r="H199" s="14"/>
      <c r="I199" s="14"/>
      <c r="J199" s="9"/>
      <c r="K199" s="126" t="b">
        <f>IF(SUM(D200:D229)&gt;0,IF(E199=0,"Толщина",""))</f>
        <v>0</v>
      </c>
      <c r="L199" s="87">
        <f>IF(E199&gt;0,"--- Скрыть пустые строки ---",)</f>
        <v>0</v>
      </c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Z199" s="71" t="s">
        <v>39</v>
      </c>
      <c r="AA199" s="71" t="s">
        <v>40</v>
      </c>
      <c r="AB199" s="71" t="s">
        <v>41</v>
      </c>
      <c r="AC199" s="71" t="s">
        <v>104</v>
      </c>
      <c r="AD199" s="71" t="s">
        <v>100</v>
      </c>
      <c r="AE199" s="71" t="s">
        <v>273</v>
      </c>
      <c r="AF199" s="72" t="s">
        <v>101</v>
      </c>
      <c r="AG199" s="71" t="s">
        <v>254</v>
      </c>
    </row>
    <row r="200" spans="1:33" s="52" customFormat="1" ht="15" customHeight="1" x14ac:dyDescent="0.2">
      <c r="A200" s="45">
        <v>1</v>
      </c>
      <c r="B200" s="46"/>
      <c r="C200" s="43"/>
      <c r="D200" s="43"/>
      <c r="E200" s="90"/>
      <c r="F200" s="91"/>
      <c r="G200" s="105"/>
      <c r="H200" s="92"/>
      <c r="I200" s="93"/>
      <c r="J200" s="44"/>
      <c r="K200" s="52" t="str">
        <f>IF(D200&gt;0,IF(N(Z200)=0,"Цвет пленки",IF(ISNA(AB200),"Рисунок","")),"")</f>
        <v/>
      </c>
      <c r="L200" s="87">
        <f t="shared" ref="L200:L229" si="0">IF(SUM(B200:D200)&gt;0,"--- Скрыть пустые строки ---",)</f>
        <v>0</v>
      </c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Z200" s="71">
        <f>IF($E$199=0,0,HLOOKUP($E$199,Пленки!$A$17:$N$209,$F$196+1,0))</f>
        <v>0</v>
      </c>
      <c r="AA200" s="71">
        <f>VLOOKUP($A$196,Патина!$G$2:$I$28,3,0)</f>
        <v>0</v>
      </c>
      <c r="AB200" s="71">
        <f>IF(SUM(B200:D200)&gt;0,VLOOKUP(F200,Фрезеровки!$B$3:$D$161,3,0),0)</f>
        <v>0</v>
      </c>
      <c r="AC200" s="71">
        <f>IF(I200=$I$2,150,IF(I200=$I$3,350,0))</f>
        <v>0</v>
      </c>
      <c r="AD200" s="71">
        <f>ROUND(B200*C200*D200/1000000,2)</f>
        <v>0</v>
      </c>
      <c r="AE200" s="71">
        <f>IF(ISERROR(VLOOKUP(F200,Фрезеровки!$B$3:$E$161,4,0)),0,VLOOKUP(F200,Фрезеровки!$B$3:$E$161,4,0))</f>
        <v>0</v>
      </c>
      <c r="AF200" s="72">
        <f>IF(AG200=$AG$198,AG200*D200,AD200)*(Z200+AA200+AB200+AC200)+AE200*D200</f>
        <v>0</v>
      </c>
      <c r="AG200" s="136">
        <f>IF(B200*C200/1000000&lt;$AG$198,$AG$198,0)</f>
        <v>7.0000000000000007E-2</v>
      </c>
    </row>
    <row r="201" spans="1:33" s="52" customFormat="1" ht="15" customHeight="1" x14ac:dyDescent="0.2">
      <c r="A201" s="12">
        <v>2</v>
      </c>
      <c r="B201" s="25"/>
      <c r="C201" s="26"/>
      <c r="D201" s="26"/>
      <c r="E201" s="94"/>
      <c r="F201" s="91"/>
      <c r="G201" s="106"/>
      <c r="H201" s="92"/>
      <c r="I201" s="98"/>
      <c r="J201" s="30"/>
      <c r="K201" s="52" t="str">
        <f t="shared" ref="K201:K229" si="1">IF(D201&gt;0,IF(N(Z201)=0,"Цвет пленки",IF(ISNA(AB201),"Рисунок","")),"")</f>
        <v/>
      </c>
      <c r="L201" s="87">
        <f t="shared" si="0"/>
        <v>0</v>
      </c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Z201" s="71">
        <f>IF($E$199=0,0,HLOOKUP($E$199,Пленки!$A$17:$N$209,$F$196+1,0))</f>
        <v>0</v>
      </c>
      <c r="AA201" s="71">
        <f>VLOOKUP($A$196,Патина!$G$2:$I$28,3,0)</f>
        <v>0</v>
      </c>
      <c r="AB201" s="71">
        <f>IF(SUM(B201:D201)&gt;0,VLOOKUP(F201,Фрезеровки!$B$3:$D$161,3,0),0)</f>
        <v>0</v>
      </c>
      <c r="AC201" s="71">
        <f t="shared" ref="AC201:AC229" si="2">IF(I201=$I$2,150,IF(I201=$I$3,350,0))</f>
        <v>0</v>
      </c>
      <c r="AD201" s="71">
        <f t="shared" ref="AD201:AD229" si="3">ROUND(B201*C201*D201/1000000,2)</f>
        <v>0</v>
      </c>
      <c r="AE201" s="71">
        <f>IF(ISERROR(VLOOKUP(F201,Фрезеровки!$B$3:$E$161,4,0)),0,VLOOKUP(F201,Фрезеровки!$B$3:$E$161,4,0))</f>
        <v>0</v>
      </c>
      <c r="AF201" s="72">
        <f t="shared" ref="AF201:AF229" si="4">IF(AG201=$AG$198,AG201*D201,AD201)*(Z201+AA201+AB201+AC201)+AE201*D201</f>
        <v>0</v>
      </c>
      <c r="AG201" s="136">
        <f t="shared" ref="AG201:AG229" si="5">IF(B201*C201/1000000&lt;$AG$198,$AG$198,0)</f>
        <v>7.0000000000000007E-2</v>
      </c>
    </row>
    <row r="202" spans="1:33" s="52" customFormat="1" ht="15" customHeight="1" x14ac:dyDescent="0.2">
      <c r="A202" s="12">
        <v>3</v>
      </c>
      <c r="B202" s="25"/>
      <c r="C202" s="26"/>
      <c r="D202" s="26"/>
      <c r="E202" s="94"/>
      <c r="F202" s="91"/>
      <c r="G202" s="106"/>
      <c r="H202" s="92"/>
      <c r="I202" s="98"/>
      <c r="J202" s="30"/>
      <c r="K202" s="52" t="str">
        <f t="shared" si="1"/>
        <v/>
      </c>
      <c r="L202" s="87">
        <f t="shared" si="0"/>
        <v>0</v>
      </c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Z202" s="71">
        <f>IF($E$199=0,0,HLOOKUP($E$199,Пленки!$A$17:$N$209,$F$196+1,0))</f>
        <v>0</v>
      </c>
      <c r="AA202" s="71">
        <f>VLOOKUP($A$196,Патина!$G$2:$I$28,3,0)</f>
        <v>0</v>
      </c>
      <c r="AB202" s="71">
        <f>IF(SUM(B202:D202)&gt;0,VLOOKUP(F202,Фрезеровки!$B$3:$D$161,3,0),0)</f>
        <v>0</v>
      </c>
      <c r="AC202" s="71">
        <f t="shared" si="2"/>
        <v>0</v>
      </c>
      <c r="AD202" s="71">
        <f t="shared" si="3"/>
        <v>0</v>
      </c>
      <c r="AE202" s="71">
        <f>IF(ISERROR(VLOOKUP(F202,Фрезеровки!$B$3:$E$161,4,0)),0,VLOOKUP(F202,Фрезеровки!$B$3:$E$161,4,0))</f>
        <v>0</v>
      </c>
      <c r="AF202" s="72">
        <f t="shared" si="4"/>
        <v>0</v>
      </c>
      <c r="AG202" s="136">
        <f t="shared" si="5"/>
        <v>7.0000000000000007E-2</v>
      </c>
    </row>
    <row r="203" spans="1:33" s="52" customFormat="1" ht="15" customHeight="1" x14ac:dyDescent="0.2">
      <c r="A203" s="12">
        <v>4</v>
      </c>
      <c r="B203" s="25"/>
      <c r="C203" s="26"/>
      <c r="D203" s="26"/>
      <c r="E203" s="94"/>
      <c r="F203" s="91"/>
      <c r="G203" s="106"/>
      <c r="H203" s="92"/>
      <c r="I203" s="98"/>
      <c r="J203" s="30"/>
      <c r="K203" s="52" t="str">
        <f t="shared" si="1"/>
        <v/>
      </c>
      <c r="L203" s="87">
        <f t="shared" si="0"/>
        <v>0</v>
      </c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Z203" s="71">
        <f>IF($E$199=0,0,HLOOKUP($E$199,Пленки!$A$17:$N$209,$F$196+1,0))</f>
        <v>0</v>
      </c>
      <c r="AA203" s="71">
        <f>VLOOKUP($A$196,Патина!$G$2:$I$28,3,0)</f>
        <v>0</v>
      </c>
      <c r="AB203" s="71">
        <f>IF(SUM(B203:D203)&gt;0,VLOOKUP(F203,Фрезеровки!$B$3:$D$161,3,0),0)</f>
        <v>0</v>
      </c>
      <c r="AC203" s="71">
        <f t="shared" si="2"/>
        <v>0</v>
      </c>
      <c r="AD203" s="71">
        <f t="shared" si="3"/>
        <v>0</v>
      </c>
      <c r="AE203" s="71">
        <f>IF(ISERROR(VLOOKUP(F203,Фрезеровки!$B$3:$E$161,4,0)),0,VLOOKUP(F203,Фрезеровки!$B$3:$E$161,4,0))</f>
        <v>0</v>
      </c>
      <c r="AF203" s="72">
        <f t="shared" si="4"/>
        <v>0</v>
      </c>
      <c r="AG203" s="136">
        <f t="shared" si="5"/>
        <v>7.0000000000000007E-2</v>
      </c>
    </row>
    <row r="204" spans="1:33" s="52" customFormat="1" ht="15" customHeight="1" x14ac:dyDescent="0.2">
      <c r="A204" s="12">
        <v>5</v>
      </c>
      <c r="B204" s="25"/>
      <c r="C204" s="26"/>
      <c r="D204" s="26"/>
      <c r="E204" s="94"/>
      <c r="F204" s="91"/>
      <c r="G204" s="106"/>
      <c r="H204" s="92"/>
      <c r="I204" s="98"/>
      <c r="J204" s="30"/>
      <c r="K204" s="52" t="str">
        <f t="shared" si="1"/>
        <v/>
      </c>
      <c r="L204" s="87">
        <f t="shared" si="0"/>
        <v>0</v>
      </c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Z204" s="71">
        <f>IF($E$199=0,0,HLOOKUP($E$199,Пленки!$A$17:$N$209,$F$196+1,0))</f>
        <v>0</v>
      </c>
      <c r="AA204" s="71">
        <f>VLOOKUP($A$196,Патина!$G$2:$I$28,3,0)</f>
        <v>0</v>
      </c>
      <c r="AB204" s="71">
        <f>IF(SUM(B204:D204)&gt;0,VLOOKUP(F204,Фрезеровки!$B$3:$D$161,3,0),0)</f>
        <v>0</v>
      </c>
      <c r="AC204" s="71">
        <f t="shared" si="2"/>
        <v>0</v>
      </c>
      <c r="AD204" s="71">
        <f t="shared" si="3"/>
        <v>0</v>
      </c>
      <c r="AE204" s="71">
        <f>IF(ISERROR(VLOOKUP(F204,Фрезеровки!$B$3:$E$161,4,0)),0,VLOOKUP(F204,Фрезеровки!$B$3:$E$161,4,0))</f>
        <v>0</v>
      </c>
      <c r="AF204" s="72">
        <f t="shared" si="4"/>
        <v>0</v>
      </c>
      <c r="AG204" s="136">
        <f t="shared" si="5"/>
        <v>7.0000000000000007E-2</v>
      </c>
    </row>
    <row r="205" spans="1:33" s="52" customFormat="1" ht="15" customHeight="1" x14ac:dyDescent="0.2">
      <c r="A205" s="12">
        <v>6</v>
      </c>
      <c r="B205" s="25"/>
      <c r="C205" s="26"/>
      <c r="D205" s="26"/>
      <c r="E205" s="94"/>
      <c r="F205" s="91"/>
      <c r="G205" s="106"/>
      <c r="H205" s="92"/>
      <c r="I205" s="98"/>
      <c r="J205" s="30"/>
      <c r="K205" s="52" t="str">
        <f t="shared" si="1"/>
        <v/>
      </c>
      <c r="L205" s="87">
        <f t="shared" si="0"/>
        <v>0</v>
      </c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Z205" s="71">
        <f>IF($E$199=0,0,HLOOKUP($E$199,Пленки!$A$17:$N$209,$F$196+1,0))</f>
        <v>0</v>
      </c>
      <c r="AA205" s="71">
        <f>VLOOKUP($A$196,Патина!$G$2:$I$28,3,0)</f>
        <v>0</v>
      </c>
      <c r="AB205" s="71">
        <f>IF(SUM(B205:D205)&gt;0,VLOOKUP(F205,Фрезеровки!$B$3:$D$161,3,0),0)</f>
        <v>0</v>
      </c>
      <c r="AC205" s="71">
        <f t="shared" si="2"/>
        <v>0</v>
      </c>
      <c r="AD205" s="71">
        <f t="shared" si="3"/>
        <v>0</v>
      </c>
      <c r="AE205" s="71">
        <f>IF(ISERROR(VLOOKUP(F205,Фрезеровки!$B$3:$E$161,4,0)),0,VLOOKUP(F205,Фрезеровки!$B$3:$E$161,4,0))</f>
        <v>0</v>
      </c>
      <c r="AF205" s="72">
        <f t="shared" si="4"/>
        <v>0</v>
      </c>
      <c r="AG205" s="136">
        <f t="shared" si="5"/>
        <v>7.0000000000000007E-2</v>
      </c>
    </row>
    <row r="206" spans="1:33" s="52" customFormat="1" ht="15" customHeight="1" x14ac:dyDescent="0.2">
      <c r="A206" s="12">
        <v>7</v>
      </c>
      <c r="B206" s="25"/>
      <c r="C206" s="26"/>
      <c r="D206" s="26"/>
      <c r="E206" s="94"/>
      <c r="F206" s="91"/>
      <c r="G206" s="106"/>
      <c r="H206" s="92"/>
      <c r="I206" s="98"/>
      <c r="J206" s="30"/>
      <c r="K206" s="52" t="str">
        <f t="shared" si="1"/>
        <v/>
      </c>
      <c r="L206" s="87">
        <f t="shared" si="0"/>
        <v>0</v>
      </c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Z206" s="71">
        <f>IF($E$199=0,0,HLOOKUP($E$199,Пленки!$A$17:$N$209,$F$196+1,0))</f>
        <v>0</v>
      </c>
      <c r="AA206" s="71">
        <f>VLOOKUP($A$196,Патина!$G$2:$I$28,3,0)</f>
        <v>0</v>
      </c>
      <c r="AB206" s="71">
        <f>IF(SUM(B206:D206)&gt;0,VLOOKUP(F206,Фрезеровки!$B$3:$D$161,3,0),0)</f>
        <v>0</v>
      </c>
      <c r="AC206" s="71">
        <f t="shared" si="2"/>
        <v>0</v>
      </c>
      <c r="AD206" s="71">
        <f t="shared" si="3"/>
        <v>0</v>
      </c>
      <c r="AE206" s="71">
        <f>IF(ISERROR(VLOOKUP(F206,Фрезеровки!$B$3:$E$161,4,0)),0,VLOOKUP(F206,Фрезеровки!$B$3:$E$161,4,0))</f>
        <v>0</v>
      </c>
      <c r="AF206" s="72">
        <f t="shared" si="4"/>
        <v>0</v>
      </c>
      <c r="AG206" s="136">
        <f t="shared" si="5"/>
        <v>7.0000000000000007E-2</v>
      </c>
    </row>
    <row r="207" spans="1:33" s="52" customFormat="1" ht="15" customHeight="1" x14ac:dyDescent="0.2">
      <c r="A207" s="12">
        <v>8</v>
      </c>
      <c r="B207" s="25"/>
      <c r="C207" s="26"/>
      <c r="D207" s="26"/>
      <c r="E207" s="94"/>
      <c r="F207" s="91"/>
      <c r="G207" s="106"/>
      <c r="H207" s="97"/>
      <c r="I207" s="98"/>
      <c r="J207" s="30"/>
      <c r="K207" s="52" t="str">
        <f t="shared" si="1"/>
        <v/>
      </c>
      <c r="L207" s="87">
        <f t="shared" si="0"/>
        <v>0</v>
      </c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Z207" s="71">
        <f>IF($E$199=0,0,HLOOKUP($E$199,Пленки!$A$17:$N$209,$F$196+1,0))</f>
        <v>0</v>
      </c>
      <c r="AA207" s="71">
        <f>VLOOKUP($A$196,Патина!$G$2:$I$28,3,0)</f>
        <v>0</v>
      </c>
      <c r="AB207" s="71">
        <f>IF(SUM(B207:D207)&gt;0,VLOOKUP(F207,Фрезеровки!$B$3:$D$161,3,0),0)</f>
        <v>0</v>
      </c>
      <c r="AC207" s="71">
        <f t="shared" si="2"/>
        <v>0</v>
      </c>
      <c r="AD207" s="71">
        <f t="shared" si="3"/>
        <v>0</v>
      </c>
      <c r="AE207" s="71">
        <f>IF(ISERROR(VLOOKUP(F207,Фрезеровки!$B$3:$E$161,4,0)),0,VLOOKUP(F207,Фрезеровки!$B$3:$E$161,4,0))</f>
        <v>0</v>
      </c>
      <c r="AF207" s="72">
        <f t="shared" si="4"/>
        <v>0</v>
      </c>
      <c r="AG207" s="136">
        <f t="shared" si="5"/>
        <v>7.0000000000000007E-2</v>
      </c>
    </row>
    <row r="208" spans="1:33" s="52" customFormat="1" ht="15" customHeight="1" x14ac:dyDescent="0.2">
      <c r="A208" s="12">
        <v>9</v>
      </c>
      <c r="B208" s="25"/>
      <c r="C208" s="26"/>
      <c r="D208" s="26"/>
      <c r="E208" s="94"/>
      <c r="F208" s="91"/>
      <c r="G208" s="106"/>
      <c r="H208" s="97"/>
      <c r="I208" s="98"/>
      <c r="J208" s="30"/>
      <c r="K208" s="52" t="str">
        <f t="shared" si="1"/>
        <v/>
      </c>
      <c r="L208" s="87">
        <f t="shared" si="0"/>
        <v>0</v>
      </c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Z208" s="71">
        <f>IF($E$199=0,0,HLOOKUP($E$199,Пленки!$A$17:$N$209,$F$196+1,0))</f>
        <v>0</v>
      </c>
      <c r="AA208" s="71">
        <f>VLOOKUP($A$196,Патина!$G$2:$I$28,3,0)</f>
        <v>0</v>
      </c>
      <c r="AB208" s="71">
        <f>IF(SUM(B208:D208)&gt;0,VLOOKUP(F208,Фрезеровки!$B$3:$D$161,3,0),0)</f>
        <v>0</v>
      </c>
      <c r="AC208" s="71">
        <f t="shared" si="2"/>
        <v>0</v>
      </c>
      <c r="AD208" s="71">
        <f t="shared" si="3"/>
        <v>0</v>
      </c>
      <c r="AE208" s="71">
        <f>IF(ISERROR(VLOOKUP(F208,Фрезеровки!$B$3:$E$161,4,0)),0,VLOOKUP(F208,Фрезеровки!$B$3:$E$161,4,0))</f>
        <v>0</v>
      </c>
      <c r="AF208" s="72">
        <f t="shared" si="4"/>
        <v>0</v>
      </c>
      <c r="AG208" s="136">
        <f t="shared" si="5"/>
        <v>7.0000000000000007E-2</v>
      </c>
    </row>
    <row r="209" spans="1:33" s="52" customFormat="1" ht="15" customHeight="1" x14ac:dyDescent="0.2">
      <c r="A209" s="12">
        <v>10</v>
      </c>
      <c r="B209" s="25"/>
      <c r="C209" s="26"/>
      <c r="D209" s="26"/>
      <c r="E209" s="94"/>
      <c r="F209" s="91"/>
      <c r="G209" s="106"/>
      <c r="H209" s="97"/>
      <c r="I209" s="98"/>
      <c r="J209" s="30"/>
      <c r="K209" s="52" t="str">
        <f t="shared" si="1"/>
        <v/>
      </c>
      <c r="L209" s="87">
        <f t="shared" si="0"/>
        <v>0</v>
      </c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Z209" s="71">
        <f>IF($E$199=0,0,HLOOKUP($E$199,Пленки!$A$17:$N$209,$F$196+1,0))</f>
        <v>0</v>
      </c>
      <c r="AA209" s="71">
        <f>VLOOKUP($A$196,Патина!$G$2:$I$28,3,0)</f>
        <v>0</v>
      </c>
      <c r="AB209" s="71">
        <f>IF(SUM(B209:D209)&gt;0,VLOOKUP(F209,Фрезеровки!$B$3:$D$161,3,0),0)</f>
        <v>0</v>
      </c>
      <c r="AC209" s="71">
        <f t="shared" si="2"/>
        <v>0</v>
      </c>
      <c r="AD209" s="71">
        <f t="shared" si="3"/>
        <v>0</v>
      </c>
      <c r="AE209" s="71">
        <f>IF(ISERROR(VLOOKUP(F209,Фрезеровки!$B$3:$E$161,4,0)),0,VLOOKUP(F209,Фрезеровки!$B$3:$E$161,4,0))</f>
        <v>0</v>
      </c>
      <c r="AF209" s="72">
        <f t="shared" si="4"/>
        <v>0</v>
      </c>
      <c r="AG209" s="136">
        <f t="shared" si="5"/>
        <v>7.0000000000000007E-2</v>
      </c>
    </row>
    <row r="210" spans="1:33" s="52" customFormat="1" ht="15" customHeight="1" x14ac:dyDescent="0.2">
      <c r="A210" s="12">
        <v>11</v>
      </c>
      <c r="B210" s="25"/>
      <c r="C210" s="26"/>
      <c r="D210" s="26"/>
      <c r="E210" s="94"/>
      <c r="F210" s="91"/>
      <c r="G210" s="106"/>
      <c r="H210" s="97"/>
      <c r="I210" s="98"/>
      <c r="J210" s="30"/>
      <c r="K210" s="52" t="str">
        <f t="shared" si="1"/>
        <v/>
      </c>
      <c r="L210" s="87">
        <f t="shared" si="0"/>
        <v>0</v>
      </c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Z210" s="71">
        <f>IF($E$199=0,0,HLOOKUP($E$199,Пленки!$A$17:$N$209,$F$196+1,0))</f>
        <v>0</v>
      </c>
      <c r="AA210" s="71">
        <f>VLOOKUP($A$196,Патина!$G$2:$I$28,3,0)</f>
        <v>0</v>
      </c>
      <c r="AB210" s="71">
        <f>IF(SUM(B210:D210)&gt;0,VLOOKUP(F210,Фрезеровки!$B$3:$D$161,3,0),0)</f>
        <v>0</v>
      </c>
      <c r="AC210" s="71">
        <f t="shared" si="2"/>
        <v>0</v>
      </c>
      <c r="AD210" s="71">
        <f t="shared" si="3"/>
        <v>0</v>
      </c>
      <c r="AE210" s="71">
        <f>IF(ISERROR(VLOOKUP(F210,Фрезеровки!$B$3:$E$161,4,0)),0,VLOOKUP(F210,Фрезеровки!$B$3:$E$161,4,0))</f>
        <v>0</v>
      </c>
      <c r="AF210" s="72">
        <f t="shared" si="4"/>
        <v>0</v>
      </c>
      <c r="AG210" s="136">
        <f t="shared" si="5"/>
        <v>7.0000000000000007E-2</v>
      </c>
    </row>
    <row r="211" spans="1:33" s="52" customFormat="1" ht="15" customHeight="1" x14ac:dyDescent="0.2">
      <c r="A211" s="12">
        <v>12</v>
      </c>
      <c r="B211" s="25"/>
      <c r="C211" s="26"/>
      <c r="D211" s="26"/>
      <c r="E211" s="94"/>
      <c r="F211" s="91"/>
      <c r="G211" s="106"/>
      <c r="H211" s="97"/>
      <c r="I211" s="98"/>
      <c r="J211" s="30"/>
      <c r="K211" s="52" t="str">
        <f t="shared" si="1"/>
        <v/>
      </c>
      <c r="L211" s="87">
        <f t="shared" si="0"/>
        <v>0</v>
      </c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Z211" s="71">
        <f>IF($E$199=0,0,HLOOKUP($E$199,Пленки!$A$17:$N$209,$F$196+1,0))</f>
        <v>0</v>
      </c>
      <c r="AA211" s="71">
        <f>VLOOKUP($A$196,Патина!$G$2:$I$28,3,0)</f>
        <v>0</v>
      </c>
      <c r="AB211" s="71">
        <f>IF(SUM(B211:D211)&gt;0,VLOOKUP(F211,Фрезеровки!$B$3:$D$161,3,0),0)</f>
        <v>0</v>
      </c>
      <c r="AC211" s="71">
        <f t="shared" si="2"/>
        <v>0</v>
      </c>
      <c r="AD211" s="71">
        <f t="shared" si="3"/>
        <v>0</v>
      </c>
      <c r="AE211" s="71">
        <f>IF(ISERROR(VLOOKUP(F211,Фрезеровки!$B$3:$E$161,4,0)),0,VLOOKUP(F211,Фрезеровки!$B$3:$E$161,4,0))</f>
        <v>0</v>
      </c>
      <c r="AF211" s="72">
        <f t="shared" si="4"/>
        <v>0</v>
      </c>
      <c r="AG211" s="136">
        <f t="shared" si="5"/>
        <v>7.0000000000000007E-2</v>
      </c>
    </row>
    <row r="212" spans="1:33" s="52" customFormat="1" ht="15" customHeight="1" x14ac:dyDescent="0.2">
      <c r="A212" s="12">
        <v>13</v>
      </c>
      <c r="B212" s="25"/>
      <c r="C212" s="26"/>
      <c r="D212" s="26"/>
      <c r="E212" s="94"/>
      <c r="F212" s="91"/>
      <c r="G212" s="106"/>
      <c r="H212" s="97"/>
      <c r="I212" s="98"/>
      <c r="J212" s="30"/>
      <c r="K212" s="52" t="str">
        <f t="shared" si="1"/>
        <v/>
      </c>
      <c r="L212" s="87">
        <f t="shared" si="0"/>
        <v>0</v>
      </c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Z212" s="71">
        <f>IF($E$199=0,0,HLOOKUP($E$199,Пленки!$A$17:$N$209,$F$196+1,0))</f>
        <v>0</v>
      </c>
      <c r="AA212" s="71">
        <f>VLOOKUP($A$196,Патина!$G$2:$I$28,3,0)</f>
        <v>0</v>
      </c>
      <c r="AB212" s="71">
        <f>IF(SUM(B212:D212)&gt;0,VLOOKUP(F212,Фрезеровки!$B$3:$D$161,3,0),0)</f>
        <v>0</v>
      </c>
      <c r="AC212" s="71">
        <f t="shared" si="2"/>
        <v>0</v>
      </c>
      <c r="AD212" s="71">
        <f t="shared" si="3"/>
        <v>0</v>
      </c>
      <c r="AE212" s="71">
        <f>IF(ISERROR(VLOOKUP(F212,Фрезеровки!$B$3:$E$161,4,0)),0,VLOOKUP(F212,Фрезеровки!$B$3:$E$161,4,0))</f>
        <v>0</v>
      </c>
      <c r="AF212" s="72">
        <f t="shared" si="4"/>
        <v>0</v>
      </c>
      <c r="AG212" s="136">
        <f t="shared" si="5"/>
        <v>7.0000000000000007E-2</v>
      </c>
    </row>
    <row r="213" spans="1:33" s="52" customFormat="1" ht="15" customHeight="1" x14ac:dyDescent="0.2">
      <c r="A213" s="12">
        <v>14</v>
      </c>
      <c r="B213" s="25"/>
      <c r="C213" s="26"/>
      <c r="D213" s="26"/>
      <c r="E213" s="94"/>
      <c r="F213" s="91"/>
      <c r="G213" s="106"/>
      <c r="H213" s="97"/>
      <c r="I213" s="98"/>
      <c r="J213" s="30"/>
      <c r="K213" s="52" t="str">
        <f t="shared" si="1"/>
        <v/>
      </c>
      <c r="L213" s="87">
        <f t="shared" si="0"/>
        <v>0</v>
      </c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Z213" s="71">
        <f>IF($E$199=0,0,HLOOKUP($E$199,Пленки!$A$17:$N$209,$F$196+1,0))</f>
        <v>0</v>
      </c>
      <c r="AA213" s="71">
        <f>VLOOKUP($A$196,Патина!$G$2:$I$28,3,0)</f>
        <v>0</v>
      </c>
      <c r="AB213" s="71">
        <f>IF(SUM(B213:D213)&gt;0,VLOOKUP(F213,Фрезеровки!$B$3:$D$161,3,0),0)</f>
        <v>0</v>
      </c>
      <c r="AC213" s="71">
        <f t="shared" si="2"/>
        <v>0</v>
      </c>
      <c r="AD213" s="71">
        <f t="shared" si="3"/>
        <v>0</v>
      </c>
      <c r="AE213" s="71">
        <f>IF(ISERROR(VLOOKUP(F213,Фрезеровки!$B$3:$E$161,4,0)),0,VLOOKUP(F213,Фрезеровки!$B$3:$E$161,4,0))</f>
        <v>0</v>
      </c>
      <c r="AF213" s="72">
        <f t="shared" si="4"/>
        <v>0</v>
      </c>
      <c r="AG213" s="136">
        <f t="shared" si="5"/>
        <v>7.0000000000000007E-2</v>
      </c>
    </row>
    <row r="214" spans="1:33" s="52" customFormat="1" ht="15" customHeight="1" x14ac:dyDescent="0.2">
      <c r="A214" s="12">
        <v>15</v>
      </c>
      <c r="B214" s="25"/>
      <c r="C214" s="26"/>
      <c r="D214" s="26"/>
      <c r="E214" s="94"/>
      <c r="F214" s="91"/>
      <c r="G214" s="106"/>
      <c r="H214" s="97"/>
      <c r="I214" s="98"/>
      <c r="J214" s="30"/>
      <c r="K214" s="52" t="str">
        <f t="shared" si="1"/>
        <v/>
      </c>
      <c r="L214" s="87">
        <f t="shared" si="0"/>
        <v>0</v>
      </c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Z214" s="71">
        <f>IF($E$199=0,0,HLOOKUP($E$199,Пленки!$A$17:$N$209,$F$196+1,0))</f>
        <v>0</v>
      </c>
      <c r="AA214" s="71">
        <f>VLOOKUP($A$196,Патина!$G$2:$I$28,3,0)</f>
        <v>0</v>
      </c>
      <c r="AB214" s="71">
        <f>IF(SUM(B214:D214)&gt;0,VLOOKUP(F214,Фрезеровки!$B$3:$D$161,3,0),0)</f>
        <v>0</v>
      </c>
      <c r="AC214" s="71">
        <f t="shared" si="2"/>
        <v>0</v>
      </c>
      <c r="AD214" s="71">
        <f t="shared" si="3"/>
        <v>0</v>
      </c>
      <c r="AE214" s="71">
        <f>IF(ISERROR(VLOOKUP(F214,Фрезеровки!$B$3:$E$161,4,0)),0,VLOOKUP(F214,Фрезеровки!$B$3:$E$161,4,0))</f>
        <v>0</v>
      </c>
      <c r="AF214" s="72">
        <f t="shared" si="4"/>
        <v>0</v>
      </c>
      <c r="AG214" s="136">
        <f t="shared" si="5"/>
        <v>7.0000000000000007E-2</v>
      </c>
    </row>
    <row r="215" spans="1:33" s="52" customFormat="1" ht="15" customHeight="1" x14ac:dyDescent="0.2">
      <c r="A215" s="12">
        <v>16</v>
      </c>
      <c r="B215" s="25"/>
      <c r="C215" s="26"/>
      <c r="D215" s="26"/>
      <c r="E215" s="94"/>
      <c r="F215" s="95"/>
      <c r="G215" s="106"/>
      <c r="H215" s="97"/>
      <c r="I215" s="98"/>
      <c r="J215" s="30"/>
      <c r="K215" s="52" t="str">
        <f t="shared" si="1"/>
        <v/>
      </c>
      <c r="L215" s="87">
        <f t="shared" si="0"/>
        <v>0</v>
      </c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Z215" s="71">
        <f>IF($E$199=0,0,HLOOKUP($E$199,Пленки!$A$17:$N$209,$F$196+1,0))</f>
        <v>0</v>
      </c>
      <c r="AA215" s="71">
        <f>VLOOKUP($A$196,Патина!$G$2:$I$28,3,0)</f>
        <v>0</v>
      </c>
      <c r="AB215" s="71">
        <f>IF(SUM(B215:D215)&gt;0,VLOOKUP(F215,Фрезеровки!$B$3:$D$161,3,0),0)</f>
        <v>0</v>
      </c>
      <c r="AC215" s="71">
        <f t="shared" si="2"/>
        <v>0</v>
      </c>
      <c r="AD215" s="71">
        <f t="shared" si="3"/>
        <v>0</v>
      </c>
      <c r="AE215" s="71">
        <f>IF(ISERROR(VLOOKUP(F215,Фрезеровки!$B$3:$E$161,4,0)),0,VLOOKUP(F215,Фрезеровки!$B$3:$E$161,4,0))</f>
        <v>0</v>
      </c>
      <c r="AF215" s="72">
        <f t="shared" si="4"/>
        <v>0</v>
      </c>
      <c r="AG215" s="136">
        <f t="shared" si="5"/>
        <v>7.0000000000000007E-2</v>
      </c>
    </row>
    <row r="216" spans="1:33" s="52" customFormat="1" ht="15" customHeight="1" x14ac:dyDescent="0.2">
      <c r="A216" s="12">
        <v>17</v>
      </c>
      <c r="B216" s="25"/>
      <c r="C216" s="26"/>
      <c r="D216" s="26"/>
      <c r="E216" s="94"/>
      <c r="F216" s="95"/>
      <c r="G216" s="106"/>
      <c r="H216" s="97"/>
      <c r="I216" s="98"/>
      <c r="J216" s="30"/>
      <c r="K216" s="52" t="str">
        <f t="shared" si="1"/>
        <v/>
      </c>
      <c r="L216" s="87">
        <f t="shared" si="0"/>
        <v>0</v>
      </c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Z216" s="71">
        <f>IF($E$199=0,0,HLOOKUP($E$199,Пленки!$A$17:$N$209,$F$196+1,0))</f>
        <v>0</v>
      </c>
      <c r="AA216" s="71">
        <f>VLOOKUP($A$196,Патина!$G$2:$I$28,3,0)</f>
        <v>0</v>
      </c>
      <c r="AB216" s="71">
        <f>IF(SUM(B216:D216)&gt;0,VLOOKUP(F216,Фрезеровки!$B$3:$D$161,3,0),0)</f>
        <v>0</v>
      </c>
      <c r="AC216" s="71">
        <f t="shared" si="2"/>
        <v>0</v>
      </c>
      <c r="AD216" s="71">
        <f t="shared" si="3"/>
        <v>0</v>
      </c>
      <c r="AE216" s="71">
        <f>IF(ISERROR(VLOOKUP(F216,Фрезеровки!$B$3:$E$161,4,0)),0,VLOOKUP(F216,Фрезеровки!$B$3:$E$161,4,0))</f>
        <v>0</v>
      </c>
      <c r="AF216" s="72">
        <f t="shared" si="4"/>
        <v>0</v>
      </c>
      <c r="AG216" s="136">
        <f t="shared" si="5"/>
        <v>7.0000000000000007E-2</v>
      </c>
    </row>
    <row r="217" spans="1:33" s="52" customFormat="1" ht="15" customHeight="1" x14ac:dyDescent="0.2">
      <c r="A217" s="12">
        <v>18</v>
      </c>
      <c r="B217" s="25"/>
      <c r="C217" s="26"/>
      <c r="D217" s="26"/>
      <c r="E217" s="94"/>
      <c r="F217" s="95"/>
      <c r="G217" s="106"/>
      <c r="H217" s="97"/>
      <c r="I217" s="98"/>
      <c r="J217" s="30"/>
      <c r="K217" s="52" t="str">
        <f t="shared" si="1"/>
        <v/>
      </c>
      <c r="L217" s="87">
        <f t="shared" si="0"/>
        <v>0</v>
      </c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Z217" s="71">
        <f>IF($E$199=0,0,HLOOKUP($E$199,Пленки!$A$17:$N$209,$F$196+1,0))</f>
        <v>0</v>
      </c>
      <c r="AA217" s="71">
        <f>VLOOKUP($A$196,Патина!$G$2:$I$28,3,0)</f>
        <v>0</v>
      </c>
      <c r="AB217" s="71">
        <f>IF(SUM(B217:D217)&gt;0,VLOOKUP(F217,Фрезеровки!$B$3:$D$161,3,0),0)</f>
        <v>0</v>
      </c>
      <c r="AC217" s="71">
        <f t="shared" si="2"/>
        <v>0</v>
      </c>
      <c r="AD217" s="71">
        <f t="shared" si="3"/>
        <v>0</v>
      </c>
      <c r="AE217" s="71">
        <f>IF(ISERROR(VLOOKUP(F217,Фрезеровки!$B$3:$E$161,4,0)),0,VLOOKUP(F217,Фрезеровки!$B$3:$E$161,4,0))</f>
        <v>0</v>
      </c>
      <c r="AF217" s="72">
        <f t="shared" si="4"/>
        <v>0</v>
      </c>
      <c r="AG217" s="136">
        <f t="shared" si="5"/>
        <v>7.0000000000000007E-2</v>
      </c>
    </row>
    <row r="218" spans="1:33" s="52" customFormat="1" ht="15" customHeight="1" x14ac:dyDescent="0.2">
      <c r="A218" s="12">
        <v>19</v>
      </c>
      <c r="B218" s="25"/>
      <c r="C218" s="26"/>
      <c r="D218" s="26"/>
      <c r="E218" s="94"/>
      <c r="F218" s="95"/>
      <c r="G218" s="106"/>
      <c r="H218" s="97"/>
      <c r="I218" s="98"/>
      <c r="J218" s="30"/>
      <c r="K218" s="52" t="str">
        <f t="shared" si="1"/>
        <v/>
      </c>
      <c r="L218" s="87">
        <f t="shared" si="0"/>
        <v>0</v>
      </c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Z218" s="71">
        <f>IF($E$199=0,0,HLOOKUP($E$199,Пленки!$A$17:$N$209,$F$196+1,0))</f>
        <v>0</v>
      </c>
      <c r="AA218" s="71">
        <f>VLOOKUP($A$196,Патина!$G$2:$I$28,3,0)</f>
        <v>0</v>
      </c>
      <c r="AB218" s="71">
        <f>IF(SUM(B218:D218)&gt;0,VLOOKUP(F218,Фрезеровки!$B$3:$D$161,3,0),0)</f>
        <v>0</v>
      </c>
      <c r="AC218" s="71">
        <f t="shared" si="2"/>
        <v>0</v>
      </c>
      <c r="AD218" s="71">
        <f t="shared" si="3"/>
        <v>0</v>
      </c>
      <c r="AE218" s="71">
        <f>IF(ISERROR(VLOOKUP(F218,Фрезеровки!$B$3:$E$161,4,0)),0,VLOOKUP(F218,Фрезеровки!$B$3:$E$161,4,0))</f>
        <v>0</v>
      </c>
      <c r="AF218" s="72">
        <f t="shared" si="4"/>
        <v>0</v>
      </c>
      <c r="AG218" s="136">
        <f t="shared" si="5"/>
        <v>7.0000000000000007E-2</v>
      </c>
    </row>
    <row r="219" spans="1:33" s="52" customFormat="1" ht="15" customHeight="1" x14ac:dyDescent="0.2">
      <c r="A219" s="12">
        <v>20</v>
      </c>
      <c r="B219" s="25"/>
      <c r="C219" s="26"/>
      <c r="D219" s="26"/>
      <c r="E219" s="94"/>
      <c r="F219" s="95"/>
      <c r="G219" s="106"/>
      <c r="H219" s="97"/>
      <c r="I219" s="98"/>
      <c r="J219" s="30"/>
      <c r="K219" s="52" t="str">
        <f t="shared" si="1"/>
        <v/>
      </c>
      <c r="L219" s="87">
        <f t="shared" si="0"/>
        <v>0</v>
      </c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Z219" s="71">
        <f>IF($E$199=0,0,HLOOKUP($E$199,Пленки!$A$17:$N$209,$F$196+1,0))</f>
        <v>0</v>
      </c>
      <c r="AA219" s="71">
        <f>VLOOKUP($A$196,Патина!$G$2:$I$28,3,0)</f>
        <v>0</v>
      </c>
      <c r="AB219" s="71">
        <f>IF(SUM(B219:D219)&gt;0,VLOOKUP(F219,Фрезеровки!$B$3:$D$161,3,0),0)</f>
        <v>0</v>
      </c>
      <c r="AC219" s="71">
        <f t="shared" si="2"/>
        <v>0</v>
      </c>
      <c r="AD219" s="71">
        <f t="shared" si="3"/>
        <v>0</v>
      </c>
      <c r="AE219" s="71">
        <f>IF(ISERROR(VLOOKUP(F219,Фрезеровки!$B$3:$E$161,4,0)),0,VLOOKUP(F219,Фрезеровки!$B$3:$E$161,4,0))</f>
        <v>0</v>
      </c>
      <c r="AF219" s="72">
        <f t="shared" si="4"/>
        <v>0</v>
      </c>
      <c r="AG219" s="136">
        <f t="shared" si="5"/>
        <v>7.0000000000000007E-2</v>
      </c>
    </row>
    <row r="220" spans="1:33" s="52" customFormat="1" ht="15" customHeight="1" x14ac:dyDescent="0.2">
      <c r="A220" s="12">
        <v>21</v>
      </c>
      <c r="B220" s="25"/>
      <c r="C220" s="26"/>
      <c r="D220" s="26"/>
      <c r="E220" s="94"/>
      <c r="F220" s="95"/>
      <c r="G220" s="106"/>
      <c r="H220" s="97"/>
      <c r="I220" s="98"/>
      <c r="J220" s="30"/>
      <c r="K220" s="52" t="str">
        <f t="shared" si="1"/>
        <v/>
      </c>
      <c r="L220" s="87">
        <f t="shared" si="0"/>
        <v>0</v>
      </c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Z220" s="71">
        <f>IF($E$199=0,0,HLOOKUP($E$199,Пленки!$A$17:$N$209,$F$196+1,0))</f>
        <v>0</v>
      </c>
      <c r="AA220" s="71">
        <f>VLOOKUP($A$196,Патина!$G$2:$I$28,3,0)</f>
        <v>0</v>
      </c>
      <c r="AB220" s="71">
        <f>IF(SUM(B220:D220)&gt;0,VLOOKUP(F220,Фрезеровки!$B$3:$D$161,3,0),0)</f>
        <v>0</v>
      </c>
      <c r="AC220" s="71">
        <f t="shared" si="2"/>
        <v>0</v>
      </c>
      <c r="AD220" s="71">
        <f t="shared" si="3"/>
        <v>0</v>
      </c>
      <c r="AE220" s="71">
        <f>IF(ISERROR(VLOOKUP(F220,Фрезеровки!$B$3:$E$161,4,0)),0,VLOOKUP(F220,Фрезеровки!$B$3:$E$161,4,0))</f>
        <v>0</v>
      </c>
      <c r="AF220" s="72">
        <f t="shared" si="4"/>
        <v>0</v>
      </c>
      <c r="AG220" s="136">
        <f t="shared" si="5"/>
        <v>7.0000000000000007E-2</v>
      </c>
    </row>
    <row r="221" spans="1:33" s="52" customFormat="1" ht="15" customHeight="1" x14ac:dyDescent="0.2">
      <c r="A221" s="12">
        <v>22</v>
      </c>
      <c r="B221" s="25"/>
      <c r="C221" s="26"/>
      <c r="D221" s="26"/>
      <c r="E221" s="94"/>
      <c r="F221" s="95"/>
      <c r="G221" s="106"/>
      <c r="H221" s="97"/>
      <c r="I221" s="98"/>
      <c r="J221" s="30"/>
      <c r="K221" s="52" t="str">
        <f t="shared" si="1"/>
        <v/>
      </c>
      <c r="L221" s="87">
        <f t="shared" si="0"/>
        <v>0</v>
      </c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Z221" s="71">
        <f>IF($E$199=0,0,HLOOKUP($E$199,Пленки!$A$17:$N$209,$F$196+1,0))</f>
        <v>0</v>
      </c>
      <c r="AA221" s="71">
        <f>VLOOKUP($A$196,Патина!$G$2:$I$28,3,0)</f>
        <v>0</v>
      </c>
      <c r="AB221" s="71">
        <f>IF(SUM(B221:D221)&gt;0,VLOOKUP(F221,Фрезеровки!$B$3:$D$161,3,0),0)</f>
        <v>0</v>
      </c>
      <c r="AC221" s="71">
        <f t="shared" si="2"/>
        <v>0</v>
      </c>
      <c r="AD221" s="71">
        <f t="shared" si="3"/>
        <v>0</v>
      </c>
      <c r="AE221" s="71">
        <f>IF(ISERROR(VLOOKUP(F221,Фрезеровки!$B$3:$E$161,4,0)),0,VLOOKUP(F221,Фрезеровки!$B$3:$E$161,4,0))</f>
        <v>0</v>
      </c>
      <c r="AF221" s="72">
        <f t="shared" si="4"/>
        <v>0</v>
      </c>
      <c r="AG221" s="136">
        <f t="shared" si="5"/>
        <v>7.0000000000000007E-2</v>
      </c>
    </row>
    <row r="222" spans="1:33" s="52" customFormat="1" ht="15" customHeight="1" x14ac:dyDescent="0.2">
      <c r="A222" s="12">
        <v>23</v>
      </c>
      <c r="B222" s="25"/>
      <c r="C222" s="26"/>
      <c r="D222" s="26"/>
      <c r="E222" s="94"/>
      <c r="F222" s="95"/>
      <c r="G222" s="106"/>
      <c r="H222" s="97"/>
      <c r="I222" s="98"/>
      <c r="J222" s="30"/>
      <c r="K222" s="52" t="str">
        <f t="shared" si="1"/>
        <v/>
      </c>
      <c r="L222" s="87">
        <f t="shared" si="0"/>
        <v>0</v>
      </c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Z222" s="71">
        <f>IF($E$199=0,0,HLOOKUP($E$199,Пленки!$A$17:$N$209,$F$196+1,0))</f>
        <v>0</v>
      </c>
      <c r="AA222" s="71">
        <f>VLOOKUP($A$196,Патина!$G$2:$I$28,3,0)</f>
        <v>0</v>
      </c>
      <c r="AB222" s="71">
        <f>IF(SUM(B222:D222)&gt;0,VLOOKUP(F222,Фрезеровки!$B$3:$D$161,3,0),0)</f>
        <v>0</v>
      </c>
      <c r="AC222" s="71">
        <f t="shared" si="2"/>
        <v>0</v>
      </c>
      <c r="AD222" s="71">
        <f t="shared" si="3"/>
        <v>0</v>
      </c>
      <c r="AE222" s="71">
        <f>IF(ISERROR(VLOOKUP(F222,Фрезеровки!$B$3:$E$161,4,0)),0,VLOOKUP(F222,Фрезеровки!$B$3:$E$161,4,0))</f>
        <v>0</v>
      </c>
      <c r="AF222" s="72">
        <f t="shared" si="4"/>
        <v>0</v>
      </c>
      <c r="AG222" s="136">
        <f t="shared" si="5"/>
        <v>7.0000000000000007E-2</v>
      </c>
    </row>
    <row r="223" spans="1:33" s="52" customFormat="1" ht="15" customHeight="1" x14ac:dyDescent="0.2">
      <c r="A223" s="12">
        <v>24</v>
      </c>
      <c r="B223" s="25"/>
      <c r="C223" s="26"/>
      <c r="D223" s="26"/>
      <c r="E223" s="94"/>
      <c r="F223" s="95"/>
      <c r="G223" s="106"/>
      <c r="H223" s="97"/>
      <c r="I223" s="98"/>
      <c r="J223" s="30"/>
      <c r="K223" s="52" t="str">
        <f t="shared" si="1"/>
        <v/>
      </c>
      <c r="L223" s="87">
        <f t="shared" si="0"/>
        <v>0</v>
      </c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Z223" s="71">
        <f>IF($E$199=0,0,HLOOKUP($E$199,Пленки!$A$17:$N$209,$F$196+1,0))</f>
        <v>0</v>
      </c>
      <c r="AA223" s="71">
        <f>VLOOKUP($A$196,Патина!$G$2:$I$28,3,0)</f>
        <v>0</v>
      </c>
      <c r="AB223" s="71">
        <f>IF(SUM(B223:D223)&gt;0,VLOOKUP(F223,Фрезеровки!$B$3:$D$161,3,0),0)</f>
        <v>0</v>
      </c>
      <c r="AC223" s="71">
        <f t="shared" si="2"/>
        <v>0</v>
      </c>
      <c r="AD223" s="71">
        <f t="shared" si="3"/>
        <v>0</v>
      </c>
      <c r="AE223" s="71">
        <f>IF(ISERROR(VLOOKUP(F223,Фрезеровки!$B$3:$E$161,4,0)),0,VLOOKUP(F223,Фрезеровки!$B$3:$E$161,4,0))</f>
        <v>0</v>
      </c>
      <c r="AF223" s="72">
        <f t="shared" si="4"/>
        <v>0</v>
      </c>
      <c r="AG223" s="136">
        <f t="shared" si="5"/>
        <v>7.0000000000000007E-2</v>
      </c>
    </row>
    <row r="224" spans="1:33" s="52" customFormat="1" ht="15" customHeight="1" x14ac:dyDescent="0.2">
      <c r="A224" s="12">
        <v>25</v>
      </c>
      <c r="B224" s="25"/>
      <c r="C224" s="26"/>
      <c r="D224" s="26"/>
      <c r="E224" s="94"/>
      <c r="F224" s="95"/>
      <c r="G224" s="106"/>
      <c r="H224" s="97"/>
      <c r="I224" s="98"/>
      <c r="J224" s="30"/>
      <c r="K224" s="52" t="str">
        <f t="shared" si="1"/>
        <v/>
      </c>
      <c r="L224" s="87">
        <f t="shared" si="0"/>
        <v>0</v>
      </c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Z224" s="71">
        <f>IF($E$199=0,0,HLOOKUP($E$199,Пленки!$A$17:$N$209,$F$196+1,0))</f>
        <v>0</v>
      </c>
      <c r="AA224" s="71">
        <f>VLOOKUP($A$196,Патина!$G$2:$I$28,3,0)</f>
        <v>0</v>
      </c>
      <c r="AB224" s="71">
        <f>IF(SUM(B224:D224)&gt;0,VLOOKUP(F224,Фрезеровки!$B$3:$D$161,3,0),0)</f>
        <v>0</v>
      </c>
      <c r="AC224" s="71">
        <f t="shared" si="2"/>
        <v>0</v>
      </c>
      <c r="AD224" s="71">
        <f t="shared" si="3"/>
        <v>0</v>
      </c>
      <c r="AE224" s="71">
        <f>IF(ISERROR(VLOOKUP(F224,Фрезеровки!$B$3:$E$161,4,0)),0,VLOOKUP(F224,Фрезеровки!$B$3:$E$161,4,0))</f>
        <v>0</v>
      </c>
      <c r="AF224" s="72">
        <f t="shared" si="4"/>
        <v>0</v>
      </c>
      <c r="AG224" s="136">
        <f t="shared" si="5"/>
        <v>7.0000000000000007E-2</v>
      </c>
    </row>
    <row r="225" spans="1:33" s="52" customFormat="1" ht="15" customHeight="1" x14ac:dyDescent="0.2">
      <c r="A225" s="12">
        <v>26</v>
      </c>
      <c r="B225" s="25"/>
      <c r="C225" s="26"/>
      <c r="D225" s="26"/>
      <c r="E225" s="94"/>
      <c r="F225" s="95"/>
      <c r="G225" s="106"/>
      <c r="H225" s="97"/>
      <c r="I225" s="98"/>
      <c r="J225" s="30"/>
      <c r="K225" s="52" t="str">
        <f t="shared" si="1"/>
        <v/>
      </c>
      <c r="L225" s="87">
        <f t="shared" si="0"/>
        <v>0</v>
      </c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Z225" s="71">
        <f>IF($E$199=0,0,HLOOKUP($E$199,Пленки!$A$17:$N$209,$F$196+1,0))</f>
        <v>0</v>
      </c>
      <c r="AA225" s="71">
        <f>VLOOKUP($A$196,Патина!$G$2:$I$28,3,0)</f>
        <v>0</v>
      </c>
      <c r="AB225" s="71">
        <f>IF(SUM(B225:D225)&gt;0,VLOOKUP(F225,Фрезеровки!$B$3:$D$161,3,0),0)</f>
        <v>0</v>
      </c>
      <c r="AC225" s="71">
        <f t="shared" si="2"/>
        <v>0</v>
      </c>
      <c r="AD225" s="71">
        <f t="shared" si="3"/>
        <v>0</v>
      </c>
      <c r="AE225" s="71">
        <f>IF(ISERROR(VLOOKUP(F225,Фрезеровки!$B$3:$E$161,4,0)),0,VLOOKUP(F225,Фрезеровки!$B$3:$E$161,4,0))</f>
        <v>0</v>
      </c>
      <c r="AF225" s="72">
        <f t="shared" si="4"/>
        <v>0</v>
      </c>
      <c r="AG225" s="136">
        <f t="shared" si="5"/>
        <v>7.0000000000000007E-2</v>
      </c>
    </row>
    <row r="226" spans="1:33" s="52" customFormat="1" ht="15" customHeight="1" x14ac:dyDescent="0.2">
      <c r="A226" s="12">
        <v>27</v>
      </c>
      <c r="B226" s="25"/>
      <c r="C226" s="26"/>
      <c r="D226" s="26"/>
      <c r="E226" s="94"/>
      <c r="F226" s="95"/>
      <c r="G226" s="106"/>
      <c r="H226" s="97"/>
      <c r="I226" s="98"/>
      <c r="J226" s="30"/>
      <c r="K226" s="52" t="str">
        <f t="shared" si="1"/>
        <v/>
      </c>
      <c r="L226" s="87">
        <f t="shared" si="0"/>
        <v>0</v>
      </c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Z226" s="71">
        <f>IF($E$199=0,0,HLOOKUP($E$199,Пленки!$A$17:$N$209,$F$196+1,0))</f>
        <v>0</v>
      </c>
      <c r="AA226" s="71">
        <f>VLOOKUP($A$196,Патина!$G$2:$I$28,3,0)</f>
        <v>0</v>
      </c>
      <c r="AB226" s="71">
        <f>IF(SUM(B226:D226)&gt;0,VLOOKUP(F226,Фрезеровки!$B$3:$D$161,3,0),0)</f>
        <v>0</v>
      </c>
      <c r="AC226" s="71">
        <f t="shared" si="2"/>
        <v>0</v>
      </c>
      <c r="AD226" s="71">
        <f t="shared" si="3"/>
        <v>0</v>
      </c>
      <c r="AE226" s="71">
        <f>IF(ISERROR(VLOOKUP(F226,Фрезеровки!$B$3:$E$161,4,0)),0,VLOOKUP(F226,Фрезеровки!$B$3:$E$161,4,0))</f>
        <v>0</v>
      </c>
      <c r="AF226" s="72">
        <f t="shared" si="4"/>
        <v>0</v>
      </c>
      <c r="AG226" s="136">
        <f t="shared" si="5"/>
        <v>7.0000000000000007E-2</v>
      </c>
    </row>
    <row r="227" spans="1:33" s="52" customFormat="1" ht="15" customHeight="1" x14ac:dyDescent="0.2">
      <c r="A227" s="12">
        <v>28</v>
      </c>
      <c r="B227" s="25"/>
      <c r="C227" s="26"/>
      <c r="D227" s="26"/>
      <c r="E227" s="94"/>
      <c r="F227" s="95"/>
      <c r="G227" s="106"/>
      <c r="H227" s="97"/>
      <c r="I227" s="98"/>
      <c r="J227" s="30"/>
      <c r="K227" s="52" t="str">
        <f t="shared" si="1"/>
        <v/>
      </c>
      <c r="L227" s="87">
        <f t="shared" si="0"/>
        <v>0</v>
      </c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Z227" s="71">
        <f>IF($E$199=0,0,HLOOKUP($E$199,Пленки!$A$17:$N$209,$F$196+1,0))</f>
        <v>0</v>
      </c>
      <c r="AA227" s="71">
        <f>VLOOKUP($A$196,Патина!$G$2:$I$28,3,0)</f>
        <v>0</v>
      </c>
      <c r="AB227" s="71">
        <f>IF(SUM(B227:D227)&gt;0,VLOOKUP(F227,Фрезеровки!$B$3:$D$161,3,0),0)</f>
        <v>0</v>
      </c>
      <c r="AC227" s="71">
        <f t="shared" si="2"/>
        <v>0</v>
      </c>
      <c r="AD227" s="71">
        <f t="shared" si="3"/>
        <v>0</v>
      </c>
      <c r="AE227" s="71">
        <f>IF(ISERROR(VLOOKUP(F227,Фрезеровки!$B$3:$E$161,4,0)),0,VLOOKUP(F227,Фрезеровки!$B$3:$E$161,4,0))</f>
        <v>0</v>
      </c>
      <c r="AF227" s="72">
        <f t="shared" si="4"/>
        <v>0</v>
      </c>
      <c r="AG227" s="136">
        <f t="shared" si="5"/>
        <v>7.0000000000000007E-2</v>
      </c>
    </row>
    <row r="228" spans="1:33" s="52" customFormat="1" ht="15" customHeight="1" x14ac:dyDescent="0.2">
      <c r="A228" s="12">
        <v>29</v>
      </c>
      <c r="B228" s="25"/>
      <c r="C228" s="26"/>
      <c r="D228" s="26"/>
      <c r="E228" s="94"/>
      <c r="F228" s="95"/>
      <c r="G228" s="106"/>
      <c r="H228" s="97"/>
      <c r="I228" s="98"/>
      <c r="J228" s="30"/>
      <c r="K228" s="52" t="str">
        <f t="shared" si="1"/>
        <v/>
      </c>
      <c r="L228" s="87">
        <f t="shared" si="0"/>
        <v>0</v>
      </c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Z228" s="71">
        <f>IF($E$199=0,0,HLOOKUP($E$199,Пленки!$A$17:$N$209,$F$196+1,0))</f>
        <v>0</v>
      </c>
      <c r="AA228" s="71">
        <f>VLOOKUP($A$196,Патина!$G$2:$I$28,3,0)</f>
        <v>0</v>
      </c>
      <c r="AB228" s="71">
        <f>IF(SUM(B228:D228)&gt;0,VLOOKUP(F228,Фрезеровки!$B$3:$D$161,3,0),0)</f>
        <v>0</v>
      </c>
      <c r="AC228" s="71">
        <f t="shared" si="2"/>
        <v>0</v>
      </c>
      <c r="AD228" s="71">
        <f t="shared" si="3"/>
        <v>0</v>
      </c>
      <c r="AE228" s="71">
        <f>IF(ISERROR(VLOOKUP(F228,Фрезеровки!$B$3:$E$161,4,0)),0,VLOOKUP(F228,Фрезеровки!$B$3:$E$161,4,0))</f>
        <v>0</v>
      </c>
      <c r="AF228" s="72">
        <f t="shared" si="4"/>
        <v>0</v>
      </c>
      <c r="AG228" s="136">
        <f t="shared" si="5"/>
        <v>7.0000000000000007E-2</v>
      </c>
    </row>
    <row r="229" spans="1:33" s="52" customFormat="1" ht="15" customHeight="1" thickBot="1" x14ac:dyDescent="0.25">
      <c r="A229" s="12">
        <v>30</v>
      </c>
      <c r="B229" s="25"/>
      <c r="C229" s="26"/>
      <c r="D229" s="26"/>
      <c r="E229" s="159"/>
      <c r="F229" s="95"/>
      <c r="G229" s="106"/>
      <c r="H229" s="97"/>
      <c r="I229" s="98"/>
      <c r="J229" s="30"/>
      <c r="K229" s="52" t="str">
        <f t="shared" si="1"/>
        <v/>
      </c>
      <c r="L229" s="87">
        <f t="shared" si="0"/>
        <v>0</v>
      </c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Z229" s="71">
        <f>IF($E$199=0,0,HLOOKUP($E$199,Пленки!$A$17:$N$209,$F$196+1,0))</f>
        <v>0</v>
      </c>
      <c r="AA229" s="71">
        <f>VLOOKUP($A$196,Патина!$G$2:$I$28,3,0)</f>
        <v>0</v>
      </c>
      <c r="AB229" s="71">
        <f>IF(SUM(B229:D229)&gt;0,VLOOKUP(F229,Фрезеровки!$B$3:$D$161,3,0),0)</f>
        <v>0</v>
      </c>
      <c r="AC229" s="71">
        <f t="shared" si="2"/>
        <v>0</v>
      </c>
      <c r="AD229" s="71">
        <f t="shared" si="3"/>
        <v>0</v>
      </c>
      <c r="AE229" s="71">
        <f>IF(ISERROR(VLOOKUP(F229,Фрезеровки!$B$3:$E$161,4,0)),0,VLOOKUP(F229,Фрезеровки!$B$3:$E$161,4,0))</f>
        <v>0</v>
      </c>
      <c r="AF229" s="72">
        <f t="shared" si="4"/>
        <v>0</v>
      </c>
      <c r="AG229" s="136">
        <f t="shared" si="5"/>
        <v>7.0000000000000007E-2</v>
      </c>
    </row>
    <row r="230" spans="1:33" s="52" customFormat="1" ht="15" customHeight="1" thickBot="1" x14ac:dyDescent="0.25">
      <c r="A230" s="187" t="s">
        <v>342</v>
      </c>
      <c r="B230" s="188"/>
      <c r="C230" s="6"/>
      <c r="D230" s="156" t="s">
        <v>343</v>
      </c>
      <c r="E230" s="158"/>
      <c r="F230" s="14"/>
      <c r="G230" s="14"/>
      <c r="H230" s="66"/>
      <c r="I230" s="14"/>
      <c r="J230" s="9"/>
      <c r="K230" s="126" t="b">
        <f>IF(SUM(D231:D238)&gt;0,IF(E230=0,"Толщина",""))</f>
        <v>0</v>
      </c>
      <c r="L230" s="87">
        <f>IF(E230&gt;0,"--- Скрыть пустые строки ---",)</f>
        <v>0</v>
      </c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Z230" s="71"/>
      <c r="AA230" s="71"/>
      <c r="AB230" s="71"/>
      <c r="AC230" s="71"/>
      <c r="AD230" s="71"/>
      <c r="AE230" s="71"/>
      <c r="AF230" s="72"/>
      <c r="AG230" s="71"/>
    </row>
    <row r="231" spans="1:33" s="52" customFormat="1" ht="15" customHeight="1" x14ac:dyDescent="0.2">
      <c r="A231" s="12">
        <v>1</v>
      </c>
      <c r="B231" s="25"/>
      <c r="C231" s="26"/>
      <c r="D231" s="26"/>
      <c r="E231" s="90"/>
      <c r="F231" s="95"/>
      <c r="G231" s="106"/>
      <c r="H231" s="97"/>
      <c r="I231" s="98"/>
      <c r="J231" s="30"/>
      <c r="K231" s="52" t="str">
        <f t="shared" ref="K231:K238" si="6">IF(D231&gt;0,IF(N(Z231)=0,"Цвет пленки",IF(ISNA(AB231),"Рисунок","")),"")</f>
        <v/>
      </c>
      <c r="L231" s="87">
        <f t="shared" ref="L231:L238" si="7">IF(SUM(B231:D231)&gt;0,"--- Скрыть пустые строки ---",)</f>
        <v>0</v>
      </c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Z231" s="71">
        <f>IF($E$230=0,0,HLOOKUP($E$230,Пленки!$A$17:$N$209,$F$196+1,0))</f>
        <v>0</v>
      </c>
      <c r="AA231" s="71">
        <f>VLOOKUP($A$196,Патина!$G$2:$I$28,3,0)</f>
        <v>0</v>
      </c>
      <c r="AB231" s="71">
        <f>IF(SUM(B231:D231)&gt;0,VLOOKUP(F231,Фрезеровки!$B$3:$D$161,3,0),0)</f>
        <v>0</v>
      </c>
      <c r="AC231" s="71">
        <f t="shared" ref="AC231:AC238" si="8">IF(I231=$I$2,150,IF(I231=$I$3,350,0))</f>
        <v>0</v>
      </c>
      <c r="AD231" s="71">
        <f t="shared" ref="AD231:AD238" si="9">ROUND(B231*C231*D231/1000000,2)</f>
        <v>0</v>
      </c>
      <c r="AE231" s="71">
        <f>IF(ISERROR(VLOOKUP(F231,Фрезеровки!$B$3:$E$161,4,0)),0,VLOOKUP(F231,Фрезеровки!$B$3:$E$161,4,0))</f>
        <v>0</v>
      </c>
      <c r="AF231" s="72">
        <f t="shared" ref="AF231:AF238" si="10">IF(AG231=$AG$198,AG231*D231,AD231)*(Z231+AA231+AB231+AC231)+AE231*D231</f>
        <v>0</v>
      </c>
      <c r="AG231" s="136">
        <f t="shared" ref="AG231:AG238" si="11">IF(B231*C231/1000000&lt;$AG$198,$AG$198,0)</f>
        <v>7.0000000000000007E-2</v>
      </c>
    </row>
    <row r="232" spans="1:33" s="52" customFormat="1" ht="15" customHeight="1" x14ac:dyDescent="0.2">
      <c r="A232" s="12">
        <v>2</v>
      </c>
      <c r="B232" s="25"/>
      <c r="C232" s="26"/>
      <c r="D232" s="26"/>
      <c r="E232" s="94"/>
      <c r="F232" s="95"/>
      <c r="G232" s="106"/>
      <c r="H232" s="97"/>
      <c r="I232" s="98"/>
      <c r="J232" s="30"/>
      <c r="K232" s="52" t="str">
        <f t="shared" si="6"/>
        <v/>
      </c>
      <c r="L232" s="87">
        <f t="shared" si="7"/>
        <v>0</v>
      </c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Z232" s="71">
        <f>IF($E$230=0,0,HLOOKUP($E$230,Пленки!$A$17:$N$209,$F$196+1,0))</f>
        <v>0</v>
      </c>
      <c r="AA232" s="71">
        <f>VLOOKUP($A$196,Патина!$G$2:$I$28,3,0)</f>
        <v>0</v>
      </c>
      <c r="AB232" s="71">
        <f>IF(SUM(B232:D232)&gt;0,VLOOKUP(F232,Фрезеровки!$B$3:$D$161,3,0),0)</f>
        <v>0</v>
      </c>
      <c r="AC232" s="71">
        <f t="shared" si="8"/>
        <v>0</v>
      </c>
      <c r="AD232" s="71">
        <f t="shared" si="9"/>
        <v>0</v>
      </c>
      <c r="AE232" s="71">
        <f>IF(ISERROR(VLOOKUP(F232,Фрезеровки!$B$3:$E$161,4,0)),0,VLOOKUP(F232,Фрезеровки!$B$3:$E$161,4,0))</f>
        <v>0</v>
      </c>
      <c r="AF232" s="72">
        <f t="shared" si="10"/>
        <v>0</v>
      </c>
      <c r="AG232" s="136">
        <f t="shared" si="11"/>
        <v>7.0000000000000007E-2</v>
      </c>
    </row>
    <row r="233" spans="1:33" s="52" customFormat="1" ht="15" customHeight="1" x14ac:dyDescent="0.2">
      <c r="A233" s="12">
        <v>3</v>
      </c>
      <c r="B233" s="25"/>
      <c r="C233" s="26"/>
      <c r="D233" s="26"/>
      <c r="E233" s="94"/>
      <c r="F233" s="95"/>
      <c r="G233" s="106"/>
      <c r="H233" s="97"/>
      <c r="I233" s="98"/>
      <c r="J233" s="30"/>
      <c r="K233" s="52" t="str">
        <f t="shared" si="6"/>
        <v/>
      </c>
      <c r="L233" s="87">
        <f t="shared" si="7"/>
        <v>0</v>
      </c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Z233" s="71">
        <f>IF($E$230=0,0,HLOOKUP($E$230,Пленки!$A$17:$N$209,$F$196+1,0))</f>
        <v>0</v>
      </c>
      <c r="AA233" s="71">
        <f>VLOOKUP($A$196,Патина!$G$2:$I$28,3,0)</f>
        <v>0</v>
      </c>
      <c r="AB233" s="71">
        <f>IF(SUM(B233:D233)&gt;0,VLOOKUP(F233,Фрезеровки!$B$3:$D$161,3,0),0)</f>
        <v>0</v>
      </c>
      <c r="AC233" s="71">
        <f t="shared" si="8"/>
        <v>0</v>
      </c>
      <c r="AD233" s="71">
        <f t="shared" si="9"/>
        <v>0</v>
      </c>
      <c r="AE233" s="71">
        <f>IF(ISERROR(VLOOKUP(F233,Фрезеровки!$B$3:$E$161,4,0)),0,VLOOKUP(F233,Фрезеровки!$B$3:$E$161,4,0))</f>
        <v>0</v>
      </c>
      <c r="AF233" s="72">
        <f t="shared" si="10"/>
        <v>0</v>
      </c>
      <c r="AG233" s="136">
        <f t="shared" si="11"/>
        <v>7.0000000000000007E-2</v>
      </c>
    </row>
    <row r="234" spans="1:33" s="52" customFormat="1" ht="15" customHeight="1" x14ac:dyDescent="0.2">
      <c r="A234" s="12">
        <v>4</v>
      </c>
      <c r="B234" s="25"/>
      <c r="C234" s="26"/>
      <c r="D234" s="26"/>
      <c r="E234" s="94"/>
      <c r="F234" s="95"/>
      <c r="G234" s="106"/>
      <c r="H234" s="97"/>
      <c r="I234" s="98"/>
      <c r="J234" s="30"/>
      <c r="K234" s="52" t="str">
        <f t="shared" si="6"/>
        <v/>
      </c>
      <c r="L234" s="87">
        <f t="shared" si="7"/>
        <v>0</v>
      </c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Z234" s="71">
        <f>IF($E$230=0,0,HLOOKUP($E$230,Пленки!$A$17:$N$209,$F$196+1,0))</f>
        <v>0</v>
      </c>
      <c r="AA234" s="71">
        <f>VLOOKUP($A$196,Патина!$G$2:$I$28,3,0)</f>
        <v>0</v>
      </c>
      <c r="AB234" s="71">
        <f>IF(SUM(B234:D234)&gt;0,VLOOKUP(F234,Фрезеровки!$B$3:$D$161,3,0),0)</f>
        <v>0</v>
      </c>
      <c r="AC234" s="71">
        <f t="shared" si="8"/>
        <v>0</v>
      </c>
      <c r="AD234" s="71">
        <f t="shared" si="9"/>
        <v>0</v>
      </c>
      <c r="AE234" s="71">
        <f>IF(ISERROR(VLOOKUP(F234,Фрезеровки!$B$3:$E$161,4,0)),0,VLOOKUP(F234,Фрезеровки!$B$3:$E$161,4,0))</f>
        <v>0</v>
      </c>
      <c r="AF234" s="72">
        <f t="shared" si="10"/>
        <v>0</v>
      </c>
      <c r="AG234" s="136">
        <f t="shared" si="11"/>
        <v>7.0000000000000007E-2</v>
      </c>
    </row>
    <row r="235" spans="1:33" s="52" customFormat="1" ht="15" customHeight="1" x14ac:dyDescent="0.2">
      <c r="A235" s="12">
        <v>5</v>
      </c>
      <c r="B235" s="25"/>
      <c r="C235" s="26"/>
      <c r="D235" s="26"/>
      <c r="E235" s="94"/>
      <c r="F235" s="95"/>
      <c r="G235" s="106"/>
      <c r="H235" s="97"/>
      <c r="I235" s="98"/>
      <c r="J235" s="30"/>
      <c r="K235" s="52" t="str">
        <f t="shared" si="6"/>
        <v/>
      </c>
      <c r="L235" s="87">
        <f t="shared" si="7"/>
        <v>0</v>
      </c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Z235" s="71">
        <f>IF($E$230=0,0,HLOOKUP($E$230,Пленки!$A$17:$N$209,$F$196+1,0))</f>
        <v>0</v>
      </c>
      <c r="AA235" s="71">
        <f>VLOOKUP($A$196,Патина!$G$2:$I$28,3,0)</f>
        <v>0</v>
      </c>
      <c r="AB235" s="71">
        <f>IF(SUM(B235:D235)&gt;0,VLOOKUP(F235,Фрезеровки!$B$3:$D$161,3,0),0)</f>
        <v>0</v>
      </c>
      <c r="AC235" s="71">
        <f t="shared" si="8"/>
        <v>0</v>
      </c>
      <c r="AD235" s="71">
        <f t="shared" si="9"/>
        <v>0</v>
      </c>
      <c r="AE235" s="71">
        <f>IF(ISERROR(VLOOKUP(F235,Фрезеровки!$B$3:$E$161,4,0)),0,VLOOKUP(F235,Фрезеровки!$B$3:$E$161,4,0))</f>
        <v>0</v>
      </c>
      <c r="AF235" s="72">
        <f t="shared" si="10"/>
        <v>0</v>
      </c>
      <c r="AG235" s="136">
        <f t="shared" si="11"/>
        <v>7.0000000000000007E-2</v>
      </c>
    </row>
    <row r="236" spans="1:33" s="52" customFormat="1" ht="15" customHeight="1" x14ac:dyDescent="0.2">
      <c r="A236" s="12">
        <v>6</v>
      </c>
      <c r="B236" s="25"/>
      <c r="C236" s="26"/>
      <c r="D236" s="26"/>
      <c r="E236" s="94"/>
      <c r="F236" s="95"/>
      <c r="G236" s="106"/>
      <c r="H236" s="97"/>
      <c r="I236" s="98"/>
      <c r="J236" s="30"/>
      <c r="K236" s="52" t="str">
        <f t="shared" si="6"/>
        <v/>
      </c>
      <c r="L236" s="87">
        <f t="shared" si="7"/>
        <v>0</v>
      </c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Z236" s="71">
        <f>IF($E$230=0,0,HLOOKUP($E$230,Пленки!$A$17:$N$209,$F$196+1,0))</f>
        <v>0</v>
      </c>
      <c r="AA236" s="71">
        <f>VLOOKUP($A$196,Патина!$G$2:$I$28,3,0)</f>
        <v>0</v>
      </c>
      <c r="AB236" s="71">
        <f>IF(SUM(B236:D236)&gt;0,VLOOKUP(F236,Фрезеровки!$B$3:$D$161,3,0),0)</f>
        <v>0</v>
      </c>
      <c r="AC236" s="71">
        <f t="shared" si="8"/>
        <v>0</v>
      </c>
      <c r="AD236" s="71">
        <f t="shared" si="9"/>
        <v>0</v>
      </c>
      <c r="AE236" s="71">
        <f>IF(ISERROR(VLOOKUP(F236,Фрезеровки!$B$3:$E$161,4,0)),0,VLOOKUP(F236,Фрезеровки!$B$3:$E$161,4,0))</f>
        <v>0</v>
      </c>
      <c r="AF236" s="72">
        <f t="shared" si="10"/>
        <v>0</v>
      </c>
      <c r="AG236" s="136">
        <f t="shared" si="11"/>
        <v>7.0000000000000007E-2</v>
      </c>
    </row>
    <row r="237" spans="1:33" s="52" customFormat="1" ht="15" customHeight="1" x14ac:dyDescent="0.2">
      <c r="A237" s="12">
        <v>7</v>
      </c>
      <c r="B237" s="25"/>
      <c r="C237" s="26"/>
      <c r="D237" s="26"/>
      <c r="E237" s="94"/>
      <c r="F237" s="95"/>
      <c r="G237" s="106"/>
      <c r="H237" s="97"/>
      <c r="I237" s="98"/>
      <c r="J237" s="30"/>
      <c r="K237" s="52" t="str">
        <f t="shared" si="6"/>
        <v/>
      </c>
      <c r="L237" s="87">
        <f t="shared" si="7"/>
        <v>0</v>
      </c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Z237" s="71">
        <f>IF($E$230=0,0,HLOOKUP($E$230,Пленки!$A$17:$N$209,$F$196+1,0))</f>
        <v>0</v>
      </c>
      <c r="AA237" s="71">
        <f>VLOOKUP($A$196,Патина!$G$2:$I$28,3,0)</f>
        <v>0</v>
      </c>
      <c r="AB237" s="71">
        <f>IF(SUM(B237:D237)&gt;0,VLOOKUP(F237,Фрезеровки!$B$3:$D$161,3,0),0)</f>
        <v>0</v>
      </c>
      <c r="AC237" s="71">
        <f t="shared" si="8"/>
        <v>0</v>
      </c>
      <c r="AD237" s="71">
        <f t="shared" si="9"/>
        <v>0</v>
      </c>
      <c r="AE237" s="71">
        <f>IF(ISERROR(VLOOKUP(F237,Фрезеровки!$B$3:$E$161,4,0)),0,VLOOKUP(F237,Фрезеровки!$B$3:$E$161,4,0))</f>
        <v>0</v>
      </c>
      <c r="AF237" s="72">
        <f t="shared" si="10"/>
        <v>0</v>
      </c>
      <c r="AG237" s="136">
        <f t="shared" si="11"/>
        <v>7.0000000000000007E-2</v>
      </c>
    </row>
    <row r="238" spans="1:33" s="52" customFormat="1" ht="15" customHeight="1" x14ac:dyDescent="0.2">
      <c r="A238" s="13">
        <v>8</v>
      </c>
      <c r="B238" s="27"/>
      <c r="C238" s="28"/>
      <c r="D238" s="28"/>
      <c r="E238" s="99"/>
      <c r="F238" s="95"/>
      <c r="G238" s="106"/>
      <c r="H238" s="97"/>
      <c r="I238" s="98"/>
      <c r="J238" s="30"/>
      <c r="K238" s="52" t="str">
        <f t="shared" si="6"/>
        <v/>
      </c>
      <c r="L238" s="87">
        <f t="shared" si="7"/>
        <v>0</v>
      </c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Z238" s="71">
        <f>IF($E$230=0,0,HLOOKUP($E$230,Пленки!$A$17:$N$209,$F$196+1,0))</f>
        <v>0</v>
      </c>
      <c r="AA238" s="71">
        <f>VLOOKUP($A$196,Патина!$G$2:$I$28,3,0)</f>
        <v>0</v>
      </c>
      <c r="AB238" s="71">
        <f>IF(SUM(B238:D238)&gt;0,VLOOKUP(F238,Фрезеровки!$B$3:$D$161,3,0),0)</f>
        <v>0</v>
      </c>
      <c r="AC238" s="71">
        <f t="shared" si="8"/>
        <v>0</v>
      </c>
      <c r="AD238" s="71">
        <f t="shared" si="9"/>
        <v>0</v>
      </c>
      <c r="AE238" s="71">
        <f>IF(ISERROR(VLOOKUP(F238,Фрезеровки!$B$3:$E$161,4,0)),0,VLOOKUP(F238,Фрезеровки!$B$3:$E$161,4,0))</f>
        <v>0</v>
      </c>
      <c r="AF238" s="72">
        <f t="shared" si="10"/>
        <v>0</v>
      </c>
      <c r="AG238" s="136">
        <f t="shared" si="11"/>
        <v>7.0000000000000007E-2</v>
      </c>
    </row>
    <row r="239" spans="1:33" s="52" customFormat="1" ht="15.75" customHeight="1" x14ac:dyDescent="0.2">
      <c r="A239" s="206" t="s">
        <v>345</v>
      </c>
      <c r="B239" s="206"/>
      <c r="C239" s="207"/>
      <c r="D239" s="32">
        <f>SUM(D200:D238)</f>
        <v>0</v>
      </c>
      <c r="E239" s="33" t="s">
        <v>3</v>
      </c>
      <c r="F239" s="34" t="s">
        <v>346</v>
      </c>
      <c r="G239" s="35"/>
      <c r="H239" s="36">
        <f>SUM(AD200:AD238)</f>
        <v>0</v>
      </c>
      <c r="I239" s="35" t="s">
        <v>347</v>
      </c>
      <c r="J239" s="37">
        <f>IF(K199="Толщина",#N/A,IF(K230="Толщина",#N/A,SUM(AF200:AF238)))</f>
        <v>0</v>
      </c>
      <c r="L239" s="87">
        <f>IF(D239&gt;0,"--- Скрыть пустые строки ---",)</f>
        <v>0</v>
      </c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Z239" s="71"/>
      <c r="AA239" s="71"/>
      <c r="AB239" s="71"/>
      <c r="AC239" s="71"/>
      <c r="AD239" s="71"/>
      <c r="AE239" s="71"/>
      <c r="AF239" s="72"/>
      <c r="AG239" s="71"/>
    </row>
    <row r="240" spans="1:33" ht="6.75" customHeight="1" x14ac:dyDescent="0.2">
      <c r="A240" s="47"/>
      <c r="B240" s="47"/>
      <c r="C240" s="47"/>
      <c r="D240" s="47"/>
      <c r="E240" s="47"/>
      <c r="F240" s="47"/>
      <c r="G240" s="47"/>
      <c r="H240" s="67"/>
      <c r="I240" s="47"/>
      <c r="J240" s="47"/>
      <c r="L240" s="88">
        <f>IF(SUM($D$243:$D$252)&gt;0,"--- Скрыть пустые строки ---",)</f>
        <v>0</v>
      </c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</row>
    <row r="241" spans="1:45" s="53" customFormat="1" ht="25.5" customHeight="1" thickBot="1" x14ac:dyDescent="0.25">
      <c r="A241" s="7" t="s">
        <v>0</v>
      </c>
      <c r="B241" s="7" t="s">
        <v>333</v>
      </c>
      <c r="C241" s="7" t="s">
        <v>1</v>
      </c>
      <c r="D241" s="7" t="s">
        <v>344</v>
      </c>
      <c r="E241" s="157" t="s">
        <v>334</v>
      </c>
      <c r="F241" s="7" t="s">
        <v>335</v>
      </c>
      <c r="G241" s="7" t="s">
        <v>336</v>
      </c>
      <c r="H241" s="7" t="s">
        <v>337</v>
      </c>
      <c r="I241" s="7" t="s">
        <v>338</v>
      </c>
      <c r="J241" s="7" t="s">
        <v>339</v>
      </c>
      <c r="L241" s="88">
        <f>IF(SUM($D$243:$D$252)&gt;0,"--- Скрыть пустые строки ---",)</f>
        <v>0</v>
      </c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Z241" s="149" t="s">
        <v>288</v>
      </c>
      <c r="AA241" s="150" t="str">
        <f>VLOOKUP($F$196,Пленки!$A$18:$B$193,2,0)</f>
        <v>---</v>
      </c>
      <c r="AC241" s="73"/>
      <c r="AD241" s="73"/>
      <c r="AE241" s="73"/>
      <c r="AF241" s="74"/>
      <c r="AG241" s="73"/>
    </row>
    <row r="242" spans="1:45" s="52" customFormat="1" ht="15.75" customHeight="1" thickBot="1" x14ac:dyDescent="0.25">
      <c r="A242" s="187" t="s">
        <v>348</v>
      </c>
      <c r="B242" s="188"/>
      <c r="C242" s="6"/>
      <c r="D242" s="156" t="s">
        <v>343</v>
      </c>
      <c r="E242" s="160"/>
      <c r="F242" s="14"/>
      <c r="G242" s="14"/>
      <c r="H242" s="66"/>
      <c r="I242" s="14"/>
      <c r="J242" s="9"/>
      <c r="K242" s="126" t="b">
        <f>IF(D253&gt;0,IF(E242=0,"Толщина",""))</f>
        <v>0</v>
      </c>
      <c r="L242" s="88">
        <f>IF(SUM($D$243:$D$252)&gt;0,"--- Скрыть пустые строки ---",)</f>
        <v>0</v>
      </c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Z242" s="71"/>
      <c r="AA242" s="71"/>
      <c r="AB242" s="71"/>
      <c r="AC242" s="71" t="s">
        <v>105</v>
      </c>
      <c r="AD242" s="71"/>
      <c r="AE242" s="71"/>
      <c r="AF242" s="72"/>
      <c r="AG242" s="71" t="s">
        <v>99</v>
      </c>
      <c r="AH242" s="71"/>
      <c r="AI242" s="71" t="s">
        <v>202</v>
      </c>
      <c r="AJ242" s="71"/>
      <c r="AL242" s="71" t="s">
        <v>207</v>
      </c>
    </row>
    <row r="243" spans="1:45" s="52" customFormat="1" ht="15" customHeight="1" x14ac:dyDescent="0.2">
      <c r="A243" s="11">
        <v>1</v>
      </c>
      <c r="B243" s="25"/>
      <c r="C243" s="41"/>
      <c r="D243" s="26"/>
      <c r="E243" s="90"/>
      <c r="F243" s="95"/>
      <c r="G243" s="96"/>
      <c r="H243" s="97"/>
      <c r="I243" s="100"/>
      <c r="J243" s="30"/>
      <c r="K243" s="52" t="str">
        <f>IF(D243&gt;0,IF(ISNA(AB243),"Рисунок",IF(I243&gt;0,IF(ISNA(AI243),CONCATENATE("Ширина ",AJ243,"мм"),""),"Радиус")),"")</f>
        <v/>
      </c>
      <c r="L243" s="87">
        <f>IF(SUM(B243:D243)&gt;0,"--- Скрыть пустые строки ---",)</f>
        <v>0</v>
      </c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Z243" s="71">
        <f>IF($E$242=0,0,HLOOKUP($E$242,Пленки!$A$17:$N$209,$F$196+1,0)*2+IF(OR($AA$241=Пленки!$B$193,$AA$241=Пленки!$B$18),140,100))</f>
        <v>0</v>
      </c>
      <c r="AA243" s="71">
        <f>VLOOKUP($A$196,Патина!$G$2:$I$28,3,0)</f>
        <v>0</v>
      </c>
      <c r="AB243" s="71">
        <f>IF(SUM(B243:D243)&gt;0,VLOOKUP(F243,Фрезеровки!$H$3:$J$173,3,0),0)</f>
        <v>0</v>
      </c>
      <c r="AC243" s="75">
        <f>IF(K243="Радиус",1,0)</f>
        <v>0</v>
      </c>
      <c r="AD243" s="71">
        <f>ROUND(B243*C243*D243/1000000,2)</f>
        <v>0</v>
      </c>
      <c r="AE243" s="71"/>
      <c r="AF243" s="72">
        <f>(AD243+AL243)*(Z243+AA243+AB243)+D243*AG243</f>
        <v>0</v>
      </c>
      <c r="AG243" s="71">
        <f>IF(B243&gt;0,IF(ISERROR(VLOOKUP(B243,Гнутые!$B$2:$C$12,2,0)),100,0),0)</f>
        <v>0</v>
      </c>
      <c r="AI243" s="71">
        <f>IF(D243=0,0,MATCH(VLOOKUP(I243,Гнутые!$E$3:$F$8,2,0),B243:C243,0))</f>
        <v>0</v>
      </c>
      <c r="AJ243" s="71" t="e">
        <f>VLOOKUP(I243,Гнутые!$E$3:$F$8,2,0)</f>
        <v>#N/A</v>
      </c>
      <c r="AL243" s="71">
        <f>IF($AD$253=0,0,IF($AD$253&lt;0.38,(0.38-$AD$253)*AD243/$AD$253,0))</f>
        <v>0</v>
      </c>
    </row>
    <row r="244" spans="1:45" s="52" customFormat="1" ht="15" customHeight="1" x14ac:dyDescent="0.2">
      <c r="A244" s="12">
        <v>2</v>
      </c>
      <c r="B244" s="25"/>
      <c r="C244" s="41"/>
      <c r="D244" s="26"/>
      <c r="E244" s="94"/>
      <c r="F244" s="95"/>
      <c r="G244" s="96"/>
      <c r="H244" s="97"/>
      <c r="I244" s="100"/>
      <c r="J244" s="30"/>
      <c r="K244" s="52" t="str">
        <f>IF(D244&gt;0,IF(ISNA(AB244),"Рисунок",IF(I244&gt;0,IF(ISNA(AI244),CONCATENATE("Ширина ",AJ244,"мм"),""),"Радиус")),"")</f>
        <v/>
      </c>
      <c r="L244" s="87">
        <f>IF(SUM(B244:D244)&gt;0,"--- Скрыть пустые строки ---",)</f>
        <v>0</v>
      </c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Z244" s="71">
        <f>IF($E$242=0,0,HLOOKUP($E$242,Пленки!$A$17:$N$209,$F$196+1,0)*2+IF(OR($AA$241=Пленки!$B$193,$AA$241=Пленки!$B$18),140,100))</f>
        <v>0</v>
      </c>
      <c r="AA244" s="71">
        <f>VLOOKUP($A$196,Патина!$G$2:$I$28,3,0)</f>
        <v>0</v>
      </c>
      <c r="AB244" s="71">
        <f>IF(SUM(B244:D244)&gt;0,VLOOKUP(F244,Фрезеровки!$H$3:$J$173,3,0),0)</f>
        <v>0</v>
      </c>
      <c r="AC244" s="75">
        <f>IF(K244="Радиус",1,0)</f>
        <v>0</v>
      </c>
      <c r="AD244" s="71">
        <f>ROUND(B244*C244*D244/1000000,2)</f>
        <v>0</v>
      </c>
      <c r="AE244" s="71"/>
      <c r="AF244" s="72">
        <f>(AD244+AL244)*(Z244+AA244+AB244)+D244*AG244</f>
        <v>0</v>
      </c>
      <c r="AG244" s="71">
        <f>IF(B244&gt;0,IF(ISERROR(VLOOKUP(B244,Гнутые!$B$2:$C$12,2,0)),100,0),0)</f>
        <v>0</v>
      </c>
      <c r="AI244" s="71">
        <f>IF(D244=0,0,MATCH(VLOOKUP(I244,Гнутые!$E$3:$F$8,2,0),B244:C244,0))</f>
        <v>0</v>
      </c>
      <c r="AJ244" s="71" t="e">
        <f>VLOOKUP(I244,Гнутые!$E$3:$F$8,2,0)</f>
        <v>#N/A</v>
      </c>
      <c r="AL244" s="71">
        <f>IF($AD$253=0,0,IF($AD$253&lt;0.38,(0.38-$AD$253)*AD244/$AD$253,0))</f>
        <v>0</v>
      </c>
    </row>
    <row r="245" spans="1:45" s="52" customFormat="1" ht="15" customHeight="1" x14ac:dyDescent="0.2">
      <c r="A245" s="12">
        <v>3</v>
      </c>
      <c r="B245" s="25"/>
      <c r="C245" s="41"/>
      <c r="D245" s="26"/>
      <c r="E245" s="94"/>
      <c r="F245" s="95"/>
      <c r="G245" s="96"/>
      <c r="H245" s="97"/>
      <c r="I245" s="100"/>
      <c r="J245" s="30"/>
      <c r="K245" s="52" t="str">
        <f>IF(D245&gt;0,IF(ISNA(AB245),"Рисунок",IF(I245&gt;0,IF(ISNA(AI245),CONCATENATE("Ширина ",AJ245,"мм"),""),"Радиус")),"")</f>
        <v/>
      </c>
      <c r="L245" s="87">
        <f>IF(SUM(B245:D245)&gt;0,"--- Скрыть пустые строки ---",)</f>
        <v>0</v>
      </c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162"/>
      <c r="Z245" s="71">
        <f>IF($E$242=0,0,HLOOKUP($E$242,Пленки!$A$17:$N$209,$F$196+1,0)*2+IF(OR($AA$241=Пленки!$B$193,$AA$241=Пленки!$B$18),140,100))</f>
        <v>0</v>
      </c>
      <c r="AA245" s="71">
        <f>VLOOKUP($A$196,Патина!$G$2:$I$28,3,0)</f>
        <v>0</v>
      </c>
      <c r="AB245" s="71">
        <f>IF(SUM(B245:D245)&gt;0,VLOOKUP(F245,Фрезеровки!$H$3:$J$173,3,0),0)</f>
        <v>0</v>
      </c>
      <c r="AC245" s="75">
        <f>IF(K245="Радиус",1,0)</f>
        <v>0</v>
      </c>
      <c r="AD245" s="71">
        <f>ROUND(B245*C245*D245/1000000,2)</f>
        <v>0</v>
      </c>
      <c r="AE245" s="71"/>
      <c r="AF245" s="72">
        <f>(AD245+AL245)*(Z245+AA245+AB245)+D245*AG245</f>
        <v>0</v>
      </c>
      <c r="AG245" s="71">
        <f>IF(B245&gt;0,IF(ISERROR(VLOOKUP(B245,Гнутые!$B$2:$C$12,2,0)),100,0),0)</f>
        <v>0</v>
      </c>
      <c r="AI245" s="71">
        <f>IF(D245=0,0,MATCH(VLOOKUP(I245,Гнутые!$E$3:$F$8,2,0),B245:C245,0))</f>
        <v>0</v>
      </c>
      <c r="AJ245" s="71" t="e">
        <f>VLOOKUP(I245,Гнутые!$E$3:$F$8,2,0)</f>
        <v>#N/A</v>
      </c>
      <c r="AL245" s="71">
        <f>IF($AD$253=0,0,IF($AD$253&lt;0.38,(0.38-$AD$253)*AD245/$AD$253,0))</f>
        <v>0</v>
      </c>
    </row>
    <row r="246" spans="1:45" s="52" customFormat="1" ht="15" customHeight="1" x14ac:dyDescent="0.2">
      <c r="A246" s="12">
        <v>4</v>
      </c>
      <c r="B246" s="25"/>
      <c r="C246" s="41"/>
      <c r="D246" s="26"/>
      <c r="E246" s="94"/>
      <c r="F246" s="95"/>
      <c r="G246" s="96"/>
      <c r="H246" s="97"/>
      <c r="I246" s="100"/>
      <c r="J246" s="30"/>
      <c r="K246" s="52" t="str">
        <f t="shared" ref="K246:K252" si="12">IF(D246&gt;0,IF(ISNA(AB246),"Рисунок",IF(I246&gt;0,IF(ISNA(AI246),CONCATENATE("Ширина ",AJ246,"мм"),""),"Радиус")),"")</f>
        <v/>
      </c>
      <c r="L246" s="87">
        <f t="shared" ref="L246:L252" si="13">IF(SUM(B246:D246)&gt;0,"--- Скрыть пустые строки ---",)</f>
        <v>0</v>
      </c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162"/>
      <c r="Z246" s="71">
        <f>IF($E$242=0,0,HLOOKUP($E$242,Пленки!$A$17:$N$209,$F$196+1,0)*2+IF(OR($AA$241=Пленки!$B$193,$AA$241=Пленки!$B$18),140,100))</f>
        <v>0</v>
      </c>
      <c r="AA246" s="71">
        <f>VLOOKUP($A$196,Патина!$G$2:$I$28,3,0)</f>
        <v>0</v>
      </c>
      <c r="AB246" s="71">
        <f>IF(SUM(B246:D246)&gt;0,VLOOKUP(F246,Фрезеровки!$H$3:$J$173,3,0),0)</f>
        <v>0</v>
      </c>
      <c r="AC246" s="75">
        <f t="shared" ref="AC246:AC252" si="14">IF(K246="Радиус",1,0)</f>
        <v>0</v>
      </c>
      <c r="AD246" s="71">
        <f t="shared" ref="AD246:AD252" si="15">ROUND(B246*C246*D246/1000000,2)</f>
        <v>0</v>
      </c>
      <c r="AE246" s="71"/>
      <c r="AF246" s="72">
        <f t="shared" ref="AF246:AF252" si="16">(AD246+AL246)*(Z246+AA246+AB246)+D246*AG246</f>
        <v>0</v>
      </c>
      <c r="AG246" s="71">
        <f>IF(B246&gt;0,IF(ISERROR(VLOOKUP(B246,Гнутые!$B$2:$C$12,2,0)),100,0),0)</f>
        <v>0</v>
      </c>
      <c r="AI246" s="71">
        <f>IF(D246=0,0,MATCH(VLOOKUP(I246,Гнутые!$E$3:$F$8,2,0),B246:C246,0))</f>
        <v>0</v>
      </c>
      <c r="AJ246" s="71" t="e">
        <f>VLOOKUP(I246,Гнутые!$E$3:$F$8,2,0)</f>
        <v>#N/A</v>
      </c>
      <c r="AL246" s="71">
        <f t="shared" ref="AL246:AL252" si="17">IF($AD$253=0,0,IF($AD$253&lt;0.38,(0.38-$AD$253)*AD246/$AD$253,0))</f>
        <v>0</v>
      </c>
    </row>
    <row r="247" spans="1:45" s="52" customFormat="1" ht="15" customHeight="1" x14ac:dyDescent="0.2">
      <c r="A247" s="12">
        <v>5</v>
      </c>
      <c r="B247" s="25"/>
      <c r="C247" s="41"/>
      <c r="D247" s="26"/>
      <c r="E247" s="94"/>
      <c r="F247" s="95"/>
      <c r="G247" s="96"/>
      <c r="H247" s="97"/>
      <c r="I247" s="100"/>
      <c r="J247" s="30"/>
      <c r="K247" s="52" t="str">
        <f t="shared" si="12"/>
        <v/>
      </c>
      <c r="L247" s="87">
        <f t="shared" si="13"/>
        <v>0</v>
      </c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Z247" s="71">
        <f>IF($E$242=0,0,HLOOKUP($E$242,Пленки!$A$17:$N$209,$F$196+1,0)*2+IF(OR($AA$241=Пленки!$B$193,$AA$241=Пленки!$B$18),140,100))</f>
        <v>0</v>
      </c>
      <c r="AA247" s="71">
        <f>VLOOKUP($A$196,Патина!$G$2:$I$28,3,0)</f>
        <v>0</v>
      </c>
      <c r="AB247" s="71">
        <f>IF(SUM(B247:D247)&gt;0,VLOOKUP(F247,Фрезеровки!$H$3:$J$173,3,0),0)</f>
        <v>0</v>
      </c>
      <c r="AC247" s="75">
        <f t="shared" si="14"/>
        <v>0</v>
      </c>
      <c r="AD247" s="71">
        <f t="shared" si="15"/>
        <v>0</v>
      </c>
      <c r="AE247" s="71"/>
      <c r="AF247" s="72">
        <f t="shared" si="16"/>
        <v>0</v>
      </c>
      <c r="AG247" s="71">
        <f>IF(B247&gt;0,IF(ISERROR(VLOOKUP(B247,Гнутые!$B$2:$C$12,2,0)),100,0),0)</f>
        <v>0</v>
      </c>
      <c r="AI247" s="71">
        <f>IF(D247=0,0,MATCH(VLOOKUP(I247,Гнутые!$E$3:$F$8,2,0),B247:C247,0))</f>
        <v>0</v>
      </c>
      <c r="AJ247" s="71" t="e">
        <f>VLOOKUP(I247,Гнутые!$E$3:$F$8,2,0)</f>
        <v>#N/A</v>
      </c>
      <c r="AL247" s="71">
        <f t="shared" si="17"/>
        <v>0</v>
      </c>
    </row>
    <row r="248" spans="1:45" s="52" customFormat="1" ht="15" customHeight="1" x14ac:dyDescent="0.2">
      <c r="A248" s="12">
        <v>6</v>
      </c>
      <c r="B248" s="25"/>
      <c r="C248" s="41"/>
      <c r="D248" s="26"/>
      <c r="E248" s="94"/>
      <c r="F248" s="95"/>
      <c r="G248" s="96"/>
      <c r="H248" s="97"/>
      <c r="I248" s="100"/>
      <c r="J248" s="30"/>
      <c r="K248" s="52" t="str">
        <f t="shared" si="12"/>
        <v/>
      </c>
      <c r="L248" s="87">
        <f t="shared" si="13"/>
        <v>0</v>
      </c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Z248" s="71">
        <f>IF($E$242=0,0,HLOOKUP($E$242,Пленки!$A$17:$N$209,$F$196+1,0)*2+IF(OR($AA$241=Пленки!$B$193,$AA$241=Пленки!$B$18),140,100))</f>
        <v>0</v>
      </c>
      <c r="AA248" s="71">
        <f>VLOOKUP($A$196,Патина!$G$2:$I$28,3,0)</f>
        <v>0</v>
      </c>
      <c r="AB248" s="71">
        <f>IF(SUM(B248:D248)&gt;0,VLOOKUP(F248,Фрезеровки!$H$3:$J$173,3,0),0)</f>
        <v>0</v>
      </c>
      <c r="AC248" s="75">
        <f t="shared" si="14"/>
        <v>0</v>
      </c>
      <c r="AD248" s="71">
        <f t="shared" si="15"/>
        <v>0</v>
      </c>
      <c r="AE248" s="71"/>
      <c r="AF248" s="72">
        <f t="shared" si="16"/>
        <v>0</v>
      </c>
      <c r="AG248" s="71">
        <f>IF(B248&gt;0,IF(ISERROR(VLOOKUP(B248,Гнутые!$B$2:$C$12,2,0)),100,0),0)</f>
        <v>0</v>
      </c>
      <c r="AI248" s="71">
        <f>IF(D248=0,0,MATCH(VLOOKUP(I248,Гнутые!$E$3:$F$8,2,0),B248:C248,0))</f>
        <v>0</v>
      </c>
      <c r="AJ248" s="71" t="e">
        <f>VLOOKUP(I248,Гнутые!$E$3:$F$8,2,0)</f>
        <v>#N/A</v>
      </c>
      <c r="AL248" s="71">
        <f t="shared" si="17"/>
        <v>0</v>
      </c>
    </row>
    <row r="249" spans="1:45" s="52" customFormat="1" ht="15" customHeight="1" x14ac:dyDescent="0.2">
      <c r="A249" s="12">
        <v>7</v>
      </c>
      <c r="B249" s="25"/>
      <c r="C249" s="41"/>
      <c r="D249" s="26"/>
      <c r="E249" s="94"/>
      <c r="F249" s="95"/>
      <c r="G249" s="96"/>
      <c r="H249" s="97"/>
      <c r="I249" s="100"/>
      <c r="J249" s="30"/>
      <c r="K249" s="52" t="str">
        <f t="shared" si="12"/>
        <v/>
      </c>
      <c r="L249" s="87">
        <f t="shared" si="13"/>
        <v>0</v>
      </c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Z249" s="71">
        <f>IF($E$242=0,0,HLOOKUP($E$242,Пленки!$A$17:$N$209,$F$196+1,0)*2+IF(OR($AA$241=Пленки!$B$193,$AA$241=Пленки!$B$18),140,100))</f>
        <v>0</v>
      </c>
      <c r="AA249" s="71">
        <f>VLOOKUP($A$196,Патина!$G$2:$I$28,3,0)</f>
        <v>0</v>
      </c>
      <c r="AB249" s="71">
        <f>IF(SUM(B249:D249)&gt;0,VLOOKUP(F249,Фрезеровки!$H$3:$J$173,3,0),0)</f>
        <v>0</v>
      </c>
      <c r="AC249" s="75">
        <f t="shared" si="14"/>
        <v>0</v>
      </c>
      <c r="AD249" s="71">
        <f t="shared" si="15"/>
        <v>0</v>
      </c>
      <c r="AE249" s="71"/>
      <c r="AF249" s="72">
        <f t="shared" si="16"/>
        <v>0</v>
      </c>
      <c r="AG249" s="71">
        <f>IF(B249&gt;0,IF(ISERROR(VLOOKUP(B249,Гнутые!$B$2:$C$12,2,0)),100,0),0)</f>
        <v>0</v>
      </c>
      <c r="AI249" s="71">
        <f>IF(D249=0,0,MATCH(VLOOKUP(I249,Гнутые!$E$3:$F$8,2,0),B249:C249,0))</f>
        <v>0</v>
      </c>
      <c r="AJ249" s="71" t="e">
        <f>VLOOKUP(I249,Гнутые!$E$3:$F$8,2,0)</f>
        <v>#N/A</v>
      </c>
      <c r="AL249" s="71">
        <f t="shared" si="17"/>
        <v>0</v>
      </c>
    </row>
    <row r="250" spans="1:45" s="52" customFormat="1" ht="15" customHeight="1" x14ac:dyDescent="0.2">
      <c r="A250" s="12">
        <v>8</v>
      </c>
      <c r="B250" s="25"/>
      <c r="C250" s="41"/>
      <c r="D250" s="26"/>
      <c r="E250" s="94"/>
      <c r="F250" s="95"/>
      <c r="G250" s="96"/>
      <c r="H250" s="97"/>
      <c r="I250" s="100"/>
      <c r="J250" s="30"/>
      <c r="K250" s="52" t="str">
        <f t="shared" si="12"/>
        <v/>
      </c>
      <c r="L250" s="87">
        <f t="shared" si="13"/>
        <v>0</v>
      </c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Z250" s="71">
        <f>IF($E$242=0,0,HLOOKUP($E$242,Пленки!$A$17:$N$209,$F$196+1,0)*2+IF(OR($AA$241=Пленки!$B$193,$AA$241=Пленки!$B$18),140,100))</f>
        <v>0</v>
      </c>
      <c r="AA250" s="71">
        <f>VLOOKUP($A$196,Патина!$G$2:$I$28,3,0)</f>
        <v>0</v>
      </c>
      <c r="AB250" s="71">
        <f>IF(SUM(B250:D250)&gt;0,VLOOKUP(F250,Фрезеровки!$H$3:$J$173,3,0),0)</f>
        <v>0</v>
      </c>
      <c r="AC250" s="75">
        <f t="shared" si="14"/>
        <v>0</v>
      </c>
      <c r="AD250" s="71">
        <f t="shared" si="15"/>
        <v>0</v>
      </c>
      <c r="AE250" s="71"/>
      <c r="AF250" s="72">
        <f t="shared" si="16"/>
        <v>0</v>
      </c>
      <c r="AG250" s="71">
        <f>IF(B250&gt;0,IF(ISERROR(VLOOKUP(B250,Гнутые!$B$2:$C$12,2,0)),100,0),0)</f>
        <v>0</v>
      </c>
      <c r="AI250" s="71">
        <f>IF(D250=0,0,MATCH(VLOOKUP(I250,Гнутые!$E$3:$F$8,2,0),B250:C250,0))</f>
        <v>0</v>
      </c>
      <c r="AJ250" s="71" t="e">
        <f>VLOOKUP(I250,Гнутые!$E$3:$F$8,2,0)</f>
        <v>#N/A</v>
      </c>
      <c r="AL250" s="71">
        <f t="shared" si="17"/>
        <v>0</v>
      </c>
    </row>
    <row r="251" spans="1:45" s="52" customFormat="1" ht="15" customHeight="1" x14ac:dyDescent="0.2">
      <c r="A251" s="12">
        <v>9</v>
      </c>
      <c r="B251" s="25"/>
      <c r="C251" s="41"/>
      <c r="D251" s="26"/>
      <c r="E251" s="94"/>
      <c r="F251" s="95"/>
      <c r="G251" s="96"/>
      <c r="H251" s="97"/>
      <c r="I251" s="100"/>
      <c r="J251" s="30"/>
      <c r="K251" s="52" t="str">
        <f t="shared" si="12"/>
        <v/>
      </c>
      <c r="L251" s="87">
        <f t="shared" si="13"/>
        <v>0</v>
      </c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Z251" s="71">
        <f>IF($E$242=0,0,HLOOKUP($E$242,Пленки!$A$17:$N$209,$F$196+1,0)*2+IF(OR($AA$241=Пленки!$B$193,$AA$241=Пленки!$B$18),140,100))</f>
        <v>0</v>
      </c>
      <c r="AA251" s="71">
        <f>VLOOKUP($A$196,Патина!$G$2:$I$28,3,0)</f>
        <v>0</v>
      </c>
      <c r="AB251" s="71">
        <f>IF(SUM(B251:D251)&gt;0,VLOOKUP(F251,Фрезеровки!$H$3:$J$173,3,0),0)</f>
        <v>0</v>
      </c>
      <c r="AC251" s="75">
        <f t="shared" si="14"/>
        <v>0</v>
      </c>
      <c r="AD251" s="71">
        <f t="shared" si="15"/>
        <v>0</v>
      </c>
      <c r="AE251" s="71"/>
      <c r="AF251" s="72">
        <f t="shared" si="16"/>
        <v>0</v>
      </c>
      <c r="AG251" s="71">
        <f>IF(B251&gt;0,IF(ISERROR(VLOOKUP(B251,Гнутые!$B$2:$C$12,2,0)),100,0),0)</f>
        <v>0</v>
      </c>
      <c r="AI251" s="71">
        <f>IF(D251=0,0,MATCH(VLOOKUP(I251,Гнутые!$E$3:$F$8,2,0),B251:C251,0))</f>
        <v>0</v>
      </c>
      <c r="AJ251" s="71" t="e">
        <f>VLOOKUP(I251,Гнутые!$E$3:$F$8,2,0)</f>
        <v>#N/A</v>
      </c>
      <c r="AL251" s="71">
        <f t="shared" si="17"/>
        <v>0</v>
      </c>
    </row>
    <row r="252" spans="1:45" s="52" customFormat="1" ht="15" customHeight="1" x14ac:dyDescent="0.2">
      <c r="A252" s="12">
        <v>10</v>
      </c>
      <c r="B252" s="25"/>
      <c r="C252" s="41"/>
      <c r="D252" s="26"/>
      <c r="E252" s="94"/>
      <c r="F252" s="95"/>
      <c r="G252" s="96"/>
      <c r="H252" s="97"/>
      <c r="I252" s="100"/>
      <c r="J252" s="30"/>
      <c r="K252" s="52" t="str">
        <f t="shared" si="12"/>
        <v/>
      </c>
      <c r="L252" s="87">
        <f t="shared" si="13"/>
        <v>0</v>
      </c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Z252" s="71">
        <f>IF($E$242=0,0,HLOOKUP($E$242,Пленки!$A$17:$N$209,$F$196+1,0)*2+IF(OR($AA$241=Пленки!$B$193,$AA$241=Пленки!$B$18),140,100))</f>
        <v>0</v>
      </c>
      <c r="AA252" s="71">
        <f>VLOOKUP($A$196,Патина!$G$2:$I$28,3,0)</f>
        <v>0</v>
      </c>
      <c r="AB252" s="71">
        <f>IF(SUM(B252:D252)&gt;0,VLOOKUP(F252,Фрезеровки!$H$3:$J$173,3,0),0)</f>
        <v>0</v>
      </c>
      <c r="AC252" s="75">
        <f t="shared" si="14"/>
        <v>0</v>
      </c>
      <c r="AD252" s="71">
        <f t="shared" si="15"/>
        <v>0</v>
      </c>
      <c r="AE252" s="71"/>
      <c r="AF252" s="72">
        <f t="shared" si="16"/>
        <v>0</v>
      </c>
      <c r="AG252" s="71">
        <f>IF(B252&gt;0,IF(ISERROR(VLOOKUP(B252,Гнутые!$B$2:$C$12,2,0)),100,0),0)</f>
        <v>0</v>
      </c>
      <c r="AI252" s="71">
        <f>IF(D252=0,0,MATCH(VLOOKUP(I252,Гнутые!$E$3:$F$8,2,0),B252:C252,0))</f>
        <v>0</v>
      </c>
      <c r="AJ252" s="71" t="e">
        <f>VLOOKUP(I252,Гнутые!$E$3:$F$8,2,0)</f>
        <v>#N/A</v>
      </c>
      <c r="AL252" s="71">
        <f t="shared" si="17"/>
        <v>0</v>
      </c>
    </row>
    <row r="253" spans="1:45" s="52" customFormat="1" ht="15.75" customHeight="1" x14ac:dyDescent="0.2">
      <c r="A253" s="206" t="s">
        <v>345</v>
      </c>
      <c r="B253" s="206"/>
      <c r="C253" s="208"/>
      <c r="D253" s="32">
        <f>SUM(D243:D252)</f>
        <v>0</v>
      </c>
      <c r="E253" s="38" t="s">
        <v>3</v>
      </c>
      <c r="F253" s="34" t="s">
        <v>346</v>
      </c>
      <c r="G253" s="35"/>
      <c r="H253" s="36">
        <f>SUM(AD243:AD252)</f>
        <v>0</v>
      </c>
      <c r="I253" s="35" t="s">
        <v>347</v>
      </c>
      <c r="J253" s="48">
        <f>IF(K242="Толщина",#N/A,IF(AC253&gt;0,"#Н/Д",IF(ISNA(AI253),"#Н/Д",AF253)))</f>
        <v>0</v>
      </c>
      <c r="L253" s="88">
        <f>IF(SUM($D$243:$D$252)&gt;0,"--- Скрыть пустые строки ---",)</f>
        <v>0</v>
      </c>
      <c r="M253" s="85"/>
      <c r="N253" s="84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Z253" s="71"/>
      <c r="AA253" s="71"/>
      <c r="AB253" s="71"/>
      <c r="AC253" s="71">
        <f>SUM(AC243:AC252)</f>
        <v>0</v>
      </c>
      <c r="AD253" s="71">
        <f>SUM(AD243:AD252)</f>
        <v>0</v>
      </c>
      <c r="AE253" s="71"/>
      <c r="AF253" s="72">
        <f>SUM(AF243:AF252)</f>
        <v>0</v>
      </c>
      <c r="AG253" s="71"/>
      <c r="AI253" s="71">
        <f>SUM(AI243:AI252)</f>
        <v>0</v>
      </c>
      <c r="AL253" s="71">
        <f>SUM(AL243:AL252)</f>
        <v>0</v>
      </c>
      <c r="AQ253" s="162"/>
      <c r="AR253" s="162"/>
      <c r="AS253" s="162"/>
    </row>
    <row r="254" spans="1:45" ht="6.75" customHeight="1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L254" s="88">
        <f>IF(SUM($H$256:$H$265)&gt;0,"--- Скрыть пустые строки ---",)</f>
        <v>0</v>
      </c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</row>
    <row r="255" spans="1:45" s="54" customFormat="1" ht="22.5" customHeight="1" x14ac:dyDescent="0.2">
      <c r="A255" s="15" t="s">
        <v>0</v>
      </c>
      <c r="B255" s="210" t="s">
        <v>349</v>
      </c>
      <c r="C255" s="210"/>
      <c r="D255" s="210"/>
      <c r="E255" s="210"/>
      <c r="F255" s="210"/>
      <c r="G255" s="16" t="s">
        <v>350</v>
      </c>
      <c r="H255" s="16" t="s">
        <v>344</v>
      </c>
      <c r="I255" s="16" t="s">
        <v>351</v>
      </c>
      <c r="J255" s="7" t="s">
        <v>339</v>
      </c>
      <c r="L255" s="88">
        <f>IF(SUM($H$256:$H$265)&gt;0,"--- Скрыть пустые строки ---",)</f>
        <v>0</v>
      </c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Z255" s="76"/>
      <c r="AA255" s="76"/>
      <c r="AB255" s="76"/>
      <c r="AC255" s="76"/>
      <c r="AD255" s="76"/>
      <c r="AE255" s="76"/>
      <c r="AF255" s="77"/>
      <c r="AG255" s="76"/>
    </row>
    <row r="256" spans="1:45" s="52" customFormat="1" ht="15" customHeight="1" x14ac:dyDescent="0.2">
      <c r="A256" s="11">
        <v>1</v>
      </c>
      <c r="B256" s="211"/>
      <c r="C256" s="212"/>
      <c r="D256" s="212"/>
      <c r="E256" s="212"/>
      <c r="F256" s="213"/>
      <c r="G256" s="122" t="str">
        <f>IF(B256&gt;0,"шт","")</f>
        <v/>
      </c>
      <c r="H256" s="112"/>
      <c r="I256" s="101"/>
      <c r="J256" s="29"/>
      <c r="K256" s="52" t="str">
        <f>IF(H256&gt;0,IF(ISERR(AC256),"",IF(I256&gt;0,"","Радиус")),"")</f>
        <v/>
      </c>
      <c r="L256" s="87">
        <f>IF(SUM(H256:H256)&gt;0,"--- Скрыть пустые строки ---",)</f>
        <v>0</v>
      </c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Z256" s="71">
        <f>IF(H256=0,0,VLOOKUP(B256,Фрезеровки!$M$4:$O$54,3,0))</f>
        <v>0</v>
      </c>
      <c r="AA256" s="71">
        <f>IF(H256=0,0,IF($A$196=1,0,HLOOKUP(VLOOKUP('Бланк зам Плівка'!$A$196,Патина!$G$2:$J$28,4,0),Фрезеровки!$M$3:$W$54,VLOOKUP(B256,Фрезеровки!$M$4:$X$54,2,0),0)))</f>
        <v>0</v>
      </c>
      <c r="AB256" s="71"/>
      <c r="AC256" s="71" t="e">
        <f>FIND("гн",B256,1)</f>
        <v>#VALUE!</v>
      </c>
      <c r="AD256" s="71">
        <f>ROUND(IF(H256=0,0,VLOOKUP(B256,Фрезеровки!$M$4:$X$54,12,0)*H256),2)</f>
        <v>0</v>
      </c>
      <c r="AE256" s="71"/>
      <c r="AF256" s="72">
        <f>H256*(Z256+AA256+AB256)</f>
        <v>0</v>
      </c>
      <c r="AG256" s="71"/>
    </row>
    <row r="257" spans="1:33" s="52" customFormat="1" ht="15" customHeight="1" x14ac:dyDescent="0.2">
      <c r="A257" s="12">
        <v>2</v>
      </c>
      <c r="B257" s="189"/>
      <c r="C257" s="190"/>
      <c r="D257" s="190"/>
      <c r="E257" s="190"/>
      <c r="F257" s="191"/>
      <c r="G257" s="123" t="str">
        <f>IF(B257&gt;0,"шт","")</f>
        <v/>
      </c>
      <c r="H257" s="113"/>
      <c r="I257" s="100"/>
      <c r="J257" s="30"/>
      <c r="K257" s="52" t="str">
        <f>IF(H257&gt;0,IF(ISERR(AC257),"",IF(I257&gt;0,"","Радиус")),"")</f>
        <v/>
      </c>
      <c r="L257" s="87">
        <f>IF(SUM(H257:H257)&gt;0,"--- Скрыть пустые строки ---",)</f>
        <v>0</v>
      </c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Z257" s="71">
        <f>IF(H257=0,0,VLOOKUP(B257,Фрезеровки!$M$4:$O$54,3,0))</f>
        <v>0</v>
      </c>
      <c r="AA257" s="71">
        <f>IF(H257=0,0,IF($A$196=1,0,HLOOKUP(VLOOKUP('Бланк зам Плівка'!$A$196,Патина!$G$2:$J$28,4,0),Фрезеровки!$M$3:$W$54,VLOOKUP(B257,Фрезеровки!$M$4:$X$54,2,0),0)))</f>
        <v>0</v>
      </c>
      <c r="AB257" s="71"/>
      <c r="AC257" s="71" t="e">
        <f>FIND("гн",B257,1)</f>
        <v>#VALUE!</v>
      </c>
      <c r="AD257" s="71">
        <f>ROUND(IF(H257=0,0,VLOOKUP(B257,Фрезеровки!$M$4:$X$54,12,0)*H257),2)</f>
        <v>0</v>
      </c>
      <c r="AE257" s="71"/>
      <c r="AF257" s="72">
        <f>H257*(Z257+AA257+AB257)</f>
        <v>0</v>
      </c>
      <c r="AG257" s="71"/>
    </row>
    <row r="258" spans="1:33" s="52" customFormat="1" ht="15" customHeight="1" x14ac:dyDescent="0.2">
      <c r="A258" s="12">
        <v>3</v>
      </c>
      <c r="B258" s="189"/>
      <c r="C258" s="190"/>
      <c r="D258" s="190"/>
      <c r="E258" s="190"/>
      <c r="F258" s="191"/>
      <c r="G258" s="123" t="str">
        <f>IF(B258&gt;0,"шт","")</f>
        <v/>
      </c>
      <c r="H258" s="113"/>
      <c r="I258" s="100"/>
      <c r="J258" s="30"/>
      <c r="K258" s="52" t="str">
        <f>IF(H258&gt;0,IF(ISERR(AC258),"",IF(I258&gt;0,"","Радиус")),"")</f>
        <v/>
      </c>
      <c r="L258" s="87">
        <f>IF(SUM(H258:H258)&gt;0,"--- Скрыть пустые строки ---",)</f>
        <v>0</v>
      </c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Z258" s="71">
        <f>IF(H258=0,0,VLOOKUP(B258,Фрезеровки!$M$4:$O$54,3,0))</f>
        <v>0</v>
      </c>
      <c r="AA258" s="71">
        <f>IF(H258=0,0,IF($A$196=1,0,HLOOKUP(VLOOKUP('Бланк зам Плівка'!$A$196,Патина!$G$2:$J$28,4,0),Фрезеровки!$M$3:$W$54,VLOOKUP(B258,Фрезеровки!$M$4:$X$54,2,0),0)))</f>
        <v>0</v>
      </c>
      <c r="AB258" s="71"/>
      <c r="AC258" s="71" t="e">
        <f>FIND("гн",B258,1)</f>
        <v>#VALUE!</v>
      </c>
      <c r="AD258" s="71">
        <f>ROUND(IF(H258=0,0,VLOOKUP(B258,Фрезеровки!$M$4:$X$54,12,0)*H258),2)</f>
        <v>0</v>
      </c>
      <c r="AE258" s="71"/>
      <c r="AF258" s="72">
        <f>H258*(Z258+AA258+AB258)</f>
        <v>0</v>
      </c>
      <c r="AG258" s="71"/>
    </row>
    <row r="259" spans="1:33" s="52" customFormat="1" ht="15" customHeight="1" x14ac:dyDescent="0.2">
      <c r="A259" s="12">
        <v>4</v>
      </c>
      <c r="B259" s="189"/>
      <c r="C259" s="190"/>
      <c r="D259" s="190"/>
      <c r="E259" s="190"/>
      <c r="F259" s="191"/>
      <c r="G259" s="123" t="str">
        <f>IF(B259&gt;0,"шт","")</f>
        <v/>
      </c>
      <c r="H259" s="113"/>
      <c r="I259" s="100"/>
      <c r="J259" s="30"/>
      <c r="K259" s="52" t="str">
        <f>IF(H259&gt;0,IF(ISERR(AC259),"",IF(I259&gt;0,"","Радиус")),"")</f>
        <v/>
      </c>
      <c r="L259" s="87">
        <f>IF(SUM(H259:H259)&gt;0,"--- Скрыть пустые строки ---",)</f>
        <v>0</v>
      </c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Z259" s="71">
        <f>IF(H259=0,0,VLOOKUP(B259,Фрезеровки!$M$4:$O$54,3,0))</f>
        <v>0</v>
      </c>
      <c r="AA259" s="71">
        <f>IF(H259=0,0,IF($A$196=1,0,HLOOKUP(VLOOKUP('Бланк зам Плівка'!$A$196,Патина!$G$2:$J$28,4,0),Фрезеровки!$M$3:$W$54,VLOOKUP(B259,Фрезеровки!$M$4:$X$54,2,0),0)))</f>
        <v>0</v>
      </c>
      <c r="AB259" s="71"/>
      <c r="AC259" s="71" t="e">
        <f>FIND("гн",B259,1)</f>
        <v>#VALUE!</v>
      </c>
      <c r="AD259" s="71">
        <f>ROUND(IF(H259=0,0,VLOOKUP(B259,Фрезеровки!$M$4:$X$54,12,0)*H259),2)</f>
        <v>0</v>
      </c>
      <c r="AE259" s="71"/>
      <c r="AF259" s="72">
        <f>H259*(Z259+AA259+AB259)</f>
        <v>0</v>
      </c>
      <c r="AG259" s="71"/>
    </row>
    <row r="260" spans="1:33" s="52" customFormat="1" ht="15" customHeight="1" x14ac:dyDescent="0.2">
      <c r="A260" s="115">
        <v>5</v>
      </c>
      <c r="B260" s="189"/>
      <c r="C260" s="190"/>
      <c r="D260" s="190"/>
      <c r="E260" s="190"/>
      <c r="F260" s="191"/>
      <c r="G260" s="124" t="str">
        <f t="shared" ref="G260:G265" si="18">IF(B260&gt;0,"шт","")</f>
        <v/>
      </c>
      <c r="H260" s="116"/>
      <c r="I260" s="117"/>
      <c r="J260" s="118"/>
      <c r="K260" s="52" t="str">
        <f t="shared" ref="K260:K265" si="19">IF(H260&gt;0,IF(ISERR(AC260),"",IF(I260&gt;0,"","Радиус")),"")</f>
        <v/>
      </c>
      <c r="L260" s="87">
        <f t="shared" ref="L260:L265" si="20">IF(SUM(H260:H260)&gt;0,"--- Скрыть пустые строки ---",)</f>
        <v>0</v>
      </c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Z260" s="71">
        <f>IF(H260=0,0,VLOOKUP(B260,Фрезеровки!$M$4:$O$54,3,0))</f>
        <v>0</v>
      </c>
      <c r="AA260" s="71">
        <f>IF(H260=0,0,IF($A$196=1,0,HLOOKUP(VLOOKUP('Бланк зам Плівка'!$A$196,Патина!$G$2:$J$28,4,0),Фрезеровки!$M$3:$W$54,VLOOKUP(B260,Фрезеровки!$M$4:$X$54,2,0),0)))</f>
        <v>0</v>
      </c>
      <c r="AB260" s="71"/>
      <c r="AC260" s="71" t="e">
        <f t="shared" ref="AC260:AC265" si="21">FIND("гн",B260,1)</f>
        <v>#VALUE!</v>
      </c>
      <c r="AD260" s="71">
        <f>ROUND(IF(H260=0,0,VLOOKUP(B260,Фрезеровки!$M$4:$X$54,12,0)*H260),2)</f>
        <v>0</v>
      </c>
      <c r="AE260" s="71"/>
      <c r="AF260" s="72">
        <f t="shared" ref="AF260:AF265" si="22">H260*(Z260+AA260+AB260)</f>
        <v>0</v>
      </c>
      <c r="AG260" s="71"/>
    </row>
    <row r="261" spans="1:33" s="52" customFormat="1" ht="15" customHeight="1" x14ac:dyDescent="0.2">
      <c r="A261" s="115">
        <v>6</v>
      </c>
      <c r="B261" s="189"/>
      <c r="C261" s="190"/>
      <c r="D261" s="190"/>
      <c r="E261" s="190"/>
      <c r="F261" s="191"/>
      <c r="G261" s="124" t="str">
        <f t="shared" si="18"/>
        <v/>
      </c>
      <c r="H261" s="116"/>
      <c r="I261" s="117"/>
      <c r="J261" s="118"/>
      <c r="K261" s="52" t="str">
        <f t="shared" si="19"/>
        <v/>
      </c>
      <c r="L261" s="87">
        <f t="shared" si="20"/>
        <v>0</v>
      </c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Z261" s="71">
        <f>IF(H261=0,0,VLOOKUP(B261,Фрезеровки!$M$4:$O$54,3,0))</f>
        <v>0</v>
      </c>
      <c r="AA261" s="71">
        <f>IF(H261=0,0,IF($A$196=1,0,HLOOKUP(VLOOKUP('Бланк зам Плівка'!$A$196,Патина!$G$2:$J$28,4,0),Фрезеровки!$M$3:$W$54,VLOOKUP(B261,Фрезеровки!$M$4:$X$54,2,0),0)))</f>
        <v>0</v>
      </c>
      <c r="AB261" s="71"/>
      <c r="AC261" s="71" t="e">
        <f t="shared" si="21"/>
        <v>#VALUE!</v>
      </c>
      <c r="AD261" s="71">
        <f>ROUND(IF(H261=0,0,VLOOKUP(B261,Фрезеровки!$M$4:$X$54,12,0)*H261),2)</f>
        <v>0</v>
      </c>
      <c r="AE261" s="71"/>
      <c r="AF261" s="72">
        <f t="shared" si="22"/>
        <v>0</v>
      </c>
      <c r="AG261" s="71"/>
    </row>
    <row r="262" spans="1:33" s="52" customFormat="1" ht="15" customHeight="1" x14ac:dyDescent="0.2">
      <c r="A262" s="115">
        <v>7</v>
      </c>
      <c r="B262" s="189"/>
      <c r="C262" s="190"/>
      <c r="D262" s="190"/>
      <c r="E262" s="190"/>
      <c r="F262" s="191"/>
      <c r="G262" s="124" t="str">
        <f t="shared" si="18"/>
        <v/>
      </c>
      <c r="H262" s="116"/>
      <c r="I262" s="117"/>
      <c r="J262" s="118"/>
      <c r="K262" s="52" t="str">
        <f t="shared" si="19"/>
        <v/>
      </c>
      <c r="L262" s="87">
        <f t="shared" si="20"/>
        <v>0</v>
      </c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Z262" s="71">
        <f>IF(H262=0,0,VLOOKUP(B262,Фрезеровки!$M$4:$O$54,3,0))</f>
        <v>0</v>
      </c>
      <c r="AA262" s="71">
        <f>IF(H262=0,0,IF($A$196=1,0,HLOOKUP(VLOOKUP('Бланк зам Плівка'!$A$196,Патина!$G$2:$J$28,4,0),Фрезеровки!$M$3:$W$54,VLOOKUP(B262,Фрезеровки!$M$4:$X$54,2,0),0)))</f>
        <v>0</v>
      </c>
      <c r="AB262" s="71"/>
      <c r="AC262" s="71" t="e">
        <f t="shared" si="21"/>
        <v>#VALUE!</v>
      </c>
      <c r="AD262" s="71">
        <f>ROUND(IF(H262=0,0,VLOOKUP(B262,Фрезеровки!$M$4:$X$54,12,0)*H262),2)</f>
        <v>0</v>
      </c>
      <c r="AE262" s="71"/>
      <c r="AF262" s="72">
        <f t="shared" si="22"/>
        <v>0</v>
      </c>
      <c r="AG262" s="71"/>
    </row>
    <row r="263" spans="1:33" s="52" customFormat="1" ht="15" customHeight="1" x14ac:dyDescent="0.2">
      <c r="A263" s="115">
        <v>8</v>
      </c>
      <c r="B263" s="189"/>
      <c r="C263" s="190"/>
      <c r="D263" s="190"/>
      <c r="E263" s="190"/>
      <c r="F263" s="191"/>
      <c r="G263" s="124" t="str">
        <f t="shared" si="18"/>
        <v/>
      </c>
      <c r="H263" s="116"/>
      <c r="I263" s="117"/>
      <c r="J263" s="118"/>
      <c r="K263" s="52" t="str">
        <f t="shared" si="19"/>
        <v/>
      </c>
      <c r="L263" s="87">
        <f t="shared" si="20"/>
        <v>0</v>
      </c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Z263" s="71">
        <f>IF(H263=0,0,VLOOKUP(B263,Фрезеровки!$M$4:$O$54,3,0))</f>
        <v>0</v>
      </c>
      <c r="AA263" s="71">
        <f>IF(H263=0,0,IF($A$196=1,0,HLOOKUP(VLOOKUP('Бланк зам Плівка'!$A$196,Патина!$G$2:$J$28,4,0),Фрезеровки!$M$3:$W$54,VLOOKUP(B263,Фрезеровки!$M$4:$X$54,2,0),0)))</f>
        <v>0</v>
      </c>
      <c r="AB263" s="71"/>
      <c r="AC263" s="71" t="e">
        <f t="shared" si="21"/>
        <v>#VALUE!</v>
      </c>
      <c r="AD263" s="71">
        <f>ROUND(IF(H263=0,0,VLOOKUP(B263,Фрезеровки!$M$4:$X$54,12,0)*H263),2)</f>
        <v>0</v>
      </c>
      <c r="AE263" s="71"/>
      <c r="AF263" s="72">
        <f t="shared" si="22"/>
        <v>0</v>
      </c>
      <c r="AG263" s="71"/>
    </row>
    <row r="264" spans="1:33" s="52" customFormat="1" ht="15" customHeight="1" x14ac:dyDescent="0.2">
      <c r="A264" s="115">
        <v>9</v>
      </c>
      <c r="B264" s="189"/>
      <c r="C264" s="190"/>
      <c r="D264" s="190"/>
      <c r="E264" s="190"/>
      <c r="F264" s="191"/>
      <c r="G264" s="124" t="str">
        <f t="shared" si="18"/>
        <v/>
      </c>
      <c r="H264" s="116"/>
      <c r="I264" s="117"/>
      <c r="J264" s="118"/>
      <c r="K264" s="52" t="str">
        <f t="shared" si="19"/>
        <v/>
      </c>
      <c r="L264" s="87">
        <f t="shared" si="20"/>
        <v>0</v>
      </c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Z264" s="71">
        <f>IF(H264=0,0,VLOOKUP(B264,Фрезеровки!$M$4:$O$54,3,0))</f>
        <v>0</v>
      </c>
      <c r="AA264" s="71">
        <f>IF(H264=0,0,IF($A$196=1,0,HLOOKUP(VLOOKUP('Бланк зам Плівка'!$A$196,Патина!$G$2:$J$28,4,0),Фрезеровки!$M$3:$W$54,VLOOKUP(B264,Фрезеровки!$M$4:$X$54,2,0),0)))</f>
        <v>0</v>
      </c>
      <c r="AB264" s="71"/>
      <c r="AC264" s="71" t="e">
        <f t="shared" si="21"/>
        <v>#VALUE!</v>
      </c>
      <c r="AD264" s="71">
        <f>ROUND(IF(H264=0,0,VLOOKUP(B264,Фрезеровки!$M$4:$X$54,12,0)*H264),2)</f>
        <v>0</v>
      </c>
      <c r="AE264" s="71"/>
      <c r="AF264" s="72">
        <f t="shared" si="22"/>
        <v>0</v>
      </c>
      <c r="AG264" s="71"/>
    </row>
    <row r="265" spans="1:33" s="52" customFormat="1" ht="15" customHeight="1" x14ac:dyDescent="0.2">
      <c r="A265" s="13">
        <v>10</v>
      </c>
      <c r="B265" s="214"/>
      <c r="C265" s="215"/>
      <c r="D265" s="215"/>
      <c r="E265" s="215"/>
      <c r="F265" s="216"/>
      <c r="G265" s="125" t="str">
        <f t="shared" si="18"/>
        <v/>
      </c>
      <c r="H265" s="114"/>
      <c r="I265" s="102"/>
      <c r="J265" s="31"/>
      <c r="K265" s="52" t="str">
        <f t="shared" si="19"/>
        <v/>
      </c>
      <c r="L265" s="87">
        <f t="shared" si="20"/>
        <v>0</v>
      </c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Z265" s="71">
        <f>IF(H265=0,0,VLOOKUP(B265,Фрезеровки!$M$4:$O$54,3,0))</f>
        <v>0</v>
      </c>
      <c r="AA265" s="71">
        <f>IF(H265=0,0,IF($A$196=1,0,HLOOKUP(VLOOKUP('Бланк зам Плівка'!$A$196,Патина!$G$2:$J$28,4,0),Фрезеровки!$M$3:$W$54,VLOOKUP(B265,Фрезеровки!$M$4:$X$54,2,0),0)))</f>
        <v>0</v>
      </c>
      <c r="AB265" s="71"/>
      <c r="AC265" s="71" t="e">
        <f t="shared" si="21"/>
        <v>#VALUE!</v>
      </c>
      <c r="AD265" s="71">
        <f>ROUND(IF(H265=0,0,VLOOKUP(B265,Фрезеровки!$M$4:$X$54,12,0)*H265),2)</f>
        <v>0</v>
      </c>
      <c r="AE265" s="71"/>
      <c r="AF265" s="72">
        <f t="shared" si="22"/>
        <v>0</v>
      </c>
      <c r="AG265" s="71"/>
    </row>
    <row r="266" spans="1:33" s="52" customFormat="1" ht="15.75" customHeight="1" x14ac:dyDescent="0.2">
      <c r="A266" s="206" t="s">
        <v>345</v>
      </c>
      <c r="B266" s="206"/>
      <c r="C266" s="208"/>
      <c r="D266" s="18">
        <f>SUM(H256:H265)</f>
        <v>0</v>
      </c>
      <c r="E266" s="17" t="s">
        <v>3</v>
      </c>
      <c r="F266" s="39" t="s">
        <v>346</v>
      </c>
      <c r="G266" s="39"/>
      <c r="H266" s="40">
        <f>SUM(AD256:AD265)</f>
        <v>0</v>
      </c>
      <c r="I266" s="35" t="s">
        <v>347</v>
      </c>
      <c r="J266" s="37">
        <f>SUM(AF256:AF265)</f>
        <v>0</v>
      </c>
      <c r="L266" s="88">
        <f>IF(SUM($H$256:$H$265)&gt;0,"--- Скрыть пустые строки ---",)</f>
        <v>0</v>
      </c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Z266" s="71"/>
      <c r="AA266" s="71"/>
      <c r="AB266" s="71"/>
      <c r="AC266" s="71"/>
      <c r="AD266" s="71"/>
      <c r="AE266" s="71"/>
      <c r="AF266" s="72"/>
      <c r="AG266" s="71"/>
    </row>
    <row r="267" spans="1:33" x14ac:dyDescent="0.2">
      <c r="A267"/>
      <c r="B267"/>
      <c r="C267"/>
      <c r="D267"/>
      <c r="E267"/>
      <c r="F267"/>
      <c r="G267"/>
      <c r="H267"/>
      <c r="I267"/>
      <c r="J267"/>
      <c r="L267" s="89"/>
    </row>
    <row r="268" spans="1:33" ht="15.75" customHeight="1" x14ac:dyDescent="0.2">
      <c r="A268"/>
      <c r="B268"/>
      <c r="C268"/>
      <c r="D268"/>
      <c r="E268"/>
      <c r="F268"/>
      <c r="G268"/>
      <c r="H268"/>
      <c r="I268" s="134" t="str">
        <f>IF(J268&gt;0,"Доплата за площадь прямых фасадов &lt;0,5м.кв.:","")</f>
        <v/>
      </c>
      <c r="J268" s="135">
        <f>IF((H266+H239)=0,0,IF((H266+H239)&lt;0.5,$Z$268*(0.5-H266-H239),0))</f>
        <v>0</v>
      </c>
      <c r="L268" s="89"/>
      <c r="Z268" s="138">
        <f>HLOOKUP(16,Пленки!$A$17:$N$209,$F$196+1,0)+VLOOKUP($A$196,Патина!$A$2:$C$28,3,0)</f>
        <v>1800</v>
      </c>
      <c r="AA268" s="138" t="s">
        <v>255</v>
      </c>
    </row>
    <row r="269" spans="1:33" ht="13.5" thickBot="1" x14ac:dyDescent="0.25">
      <c r="A269"/>
      <c r="B269"/>
      <c r="C269"/>
      <c r="D269"/>
      <c r="E269"/>
      <c r="F269"/>
      <c r="G269"/>
      <c r="H269"/>
      <c r="I269"/>
      <c r="J269"/>
      <c r="L269" s="89"/>
    </row>
    <row r="270" spans="1:33" s="55" customFormat="1" ht="18.75" customHeight="1" thickBot="1" x14ac:dyDescent="0.3">
      <c r="A270" s="5"/>
      <c r="B270" s="107" t="str">
        <f>Пленки!B1</f>
        <v>Прайс-лист від 13.10.25</v>
      </c>
      <c r="C270" s="5"/>
      <c r="D270" s="5"/>
      <c r="E270" s="5"/>
      <c r="F270" s="5"/>
      <c r="G270" s="5"/>
      <c r="H270" s="5"/>
      <c r="I270" s="24" t="s">
        <v>352</v>
      </c>
      <c r="J270" s="19">
        <f>J239+J253+J266+J268</f>
        <v>0</v>
      </c>
      <c r="L270" s="56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Z270" s="78"/>
      <c r="AA270" s="78"/>
      <c r="AB270" s="78"/>
      <c r="AC270" s="78"/>
      <c r="AD270" s="78"/>
      <c r="AE270" s="78"/>
      <c r="AF270" s="79"/>
      <c r="AG270" s="78"/>
    </row>
  </sheetData>
  <sheetProtection autoFilter="0"/>
  <autoFilter ref="L198:L266" xr:uid="{00000000-0009-0000-0000-000000000000}"/>
  <customSheetViews>
    <customSheetView guid="{700CC08B-C9E0-4A9E-9D69-3098FEE5461F}" scale="85" showGridLines="0" fitToPage="1" showAutoFilter="1" hiddenRows="1" hiddenColumns="1" topLeftCell="A181">
      <pane xSplit="10" ySplit="18" topLeftCell="K199" activePane="bottomRight" state="frozen"/>
      <selection pane="bottomRight" activeCell="M211" sqref="M211"/>
      <pageMargins left="0.53" right="0.36" top="0.23622047244094491" bottom="0.35" header="0.35433070866141736" footer="0.23622047244094491"/>
      <printOptions horizontalCentered="1"/>
      <pageSetup paperSize="9" scale="58" orientation="portrait" blackAndWhite="1" r:id="rId1"/>
      <headerFooter alignWithMargins="0"/>
      <autoFilter ref="L198:L266" xr:uid="{00000000-0000-0000-0000-000000000000}"/>
    </customSheetView>
  </customSheetViews>
  <mergeCells count="27">
    <mergeCell ref="A266:C266"/>
    <mergeCell ref="B255:F255"/>
    <mergeCell ref="B256:F256"/>
    <mergeCell ref="B257:F257"/>
    <mergeCell ref="B258:F258"/>
    <mergeCell ref="B259:F259"/>
    <mergeCell ref="B265:F265"/>
    <mergeCell ref="B260:F260"/>
    <mergeCell ref="B261:F261"/>
    <mergeCell ref="B263:F263"/>
    <mergeCell ref="B264:F264"/>
    <mergeCell ref="A242:B242"/>
    <mergeCell ref="B262:F262"/>
    <mergeCell ref="H188:J188"/>
    <mergeCell ref="C192:F192"/>
    <mergeCell ref="C190:F190"/>
    <mergeCell ref="D188:E188"/>
    <mergeCell ref="A230:B230"/>
    <mergeCell ref="C193:F193"/>
    <mergeCell ref="H192:I193"/>
    <mergeCell ref="A199:B199"/>
    <mergeCell ref="J192:J193"/>
    <mergeCell ref="F196:H196"/>
    <mergeCell ref="A196:D196"/>
    <mergeCell ref="A239:C239"/>
    <mergeCell ref="A253:C253"/>
    <mergeCell ref="A190:B190"/>
  </mergeCells>
  <phoneticPr fontId="3" type="noConversion"/>
  <conditionalFormatting sqref="F243:H252">
    <cfRule type="expression" dxfId="13" priority="3" stopIfTrue="1">
      <formula>$K243="Рисунок"</formula>
    </cfRule>
  </conditionalFormatting>
  <conditionalFormatting sqref="B243:B252">
    <cfRule type="expression" dxfId="12" priority="4" stopIfTrue="1">
      <formula>$AG243&gt;0</formula>
    </cfRule>
  </conditionalFormatting>
  <conditionalFormatting sqref="I256:K265">
    <cfRule type="expression" dxfId="11" priority="5" stopIfTrue="1">
      <formula>$K256="Радиус"</formula>
    </cfRule>
  </conditionalFormatting>
  <conditionalFormatting sqref="F215:K229 F231:K238 I200:K206 G207:K214">
    <cfRule type="expression" dxfId="10" priority="6" stopIfTrue="1">
      <formula>$K200="Рисунок"</formula>
    </cfRule>
    <cfRule type="expression" dxfId="9" priority="7" stopIfTrue="1">
      <formula>$K200="Цвет пленки"</formula>
    </cfRule>
  </conditionalFormatting>
  <conditionalFormatting sqref="E199:K199 K230">
    <cfRule type="expression" dxfId="8" priority="8" stopIfTrue="1">
      <formula>$K199="Толщина"</formula>
    </cfRule>
  </conditionalFormatting>
  <conditionalFormatting sqref="I243:K252">
    <cfRule type="expression" dxfId="7" priority="9" stopIfTrue="1">
      <formula>$K243="Рисунок"</formula>
    </cfRule>
    <cfRule type="expression" dxfId="6" priority="10" stopIfTrue="1">
      <formula>$K243="Радиус"</formula>
    </cfRule>
    <cfRule type="expression" dxfId="5" priority="11" stopIfTrue="1">
      <formula>ISNA($AI243)</formula>
    </cfRule>
  </conditionalFormatting>
  <conditionalFormatting sqref="E242:K242">
    <cfRule type="expression" dxfId="4" priority="12" stopIfTrue="1">
      <formula>$K$242="Толщина"</formula>
    </cfRule>
  </conditionalFormatting>
  <conditionalFormatting sqref="I268">
    <cfRule type="expression" dxfId="3" priority="13" stopIfTrue="1">
      <formula>$J$255=0</formula>
    </cfRule>
  </conditionalFormatting>
  <conditionalFormatting sqref="J268">
    <cfRule type="expression" dxfId="2" priority="14" stopIfTrue="1">
      <formula>$J$268=0</formula>
    </cfRule>
  </conditionalFormatting>
  <conditionalFormatting sqref="F200:H200 G201:H206 F201:F214">
    <cfRule type="expression" dxfId="1" priority="1" stopIfTrue="1">
      <formula>$K200="Рисунок"</formula>
    </cfRule>
    <cfRule type="expression" dxfId="0" priority="2" stopIfTrue="1">
      <formula>$K200="Цвет пленки"</formula>
    </cfRule>
  </conditionalFormatting>
  <dataValidations count="16">
    <dataValidation type="list" allowBlank="1" showInputMessage="1" showErrorMessage="1" sqref="E243:E252 E231:E238 E200:E229" xr:uid="{00000000-0002-0000-0000-000000000000}">
      <formula1>$D$2:$D$3</formula1>
    </dataValidation>
    <dataValidation type="list" allowBlank="1" showInputMessage="1" showErrorMessage="1" sqref="G243:G252 G231:G238 G200:G229" xr:uid="{00000000-0002-0000-0000-000001000000}">
      <formula1>$G$1:$G$12</formula1>
    </dataValidation>
    <dataValidation type="list" allowBlank="1" showInputMessage="1" showErrorMessage="1" sqref="H243:H252 H231:H238 H200:H229" xr:uid="{00000000-0002-0000-0000-000002000000}">
      <formula1>$H$1:$H$13</formula1>
    </dataValidation>
    <dataValidation type="list" allowBlank="1" showInputMessage="1" showErrorMessage="1" sqref="E242" xr:uid="{00000000-0002-0000-0000-000003000000}">
      <formula1>$E$3:$E$4</formula1>
    </dataValidation>
    <dataValidation type="list" allowBlank="1" showInputMessage="1" showErrorMessage="1" sqref="I243:I252" xr:uid="{00000000-0002-0000-0000-000004000000}">
      <formula1>$AB$1:$AB$7</formula1>
    </dataValidation>
    <dataValidation type="whole" allowBlank="1" showInputMessage="1" showErrorMessage="1" sqref="B243:C252" xr:uid="{00000000-0002-0000-0000-000005000000}">
      <formula1>50</formula1>
      <formula2>960</formula2>
    </dataValidation>
    <dataValidation type="whole" allowBlank="1" showInputMessage="1" showErrorMessage="1" sqref="D243:D252" xr:uid="{00000000-0002-0000-0000-000006000000}">
      <formula1>0</formula1>
      <formula2>200</formula2>
    </dataValidation>
    <dataValidation type="list" allowBlank="1" showInputMessage="1" showErrorMessage="1" sqref="I256:I265" xr:uid="{00000000-0002-0000-0000-000007000000}">
      <formula1>$AC$1:$AC$6</formula1>
    </dataValidation>
    <dataValidation showInputMessage="1" showErrorMessage="1" sqref="F196:H196" xr:uid="{00000000-0002-0000-0000-000008000000}"/>
    <dataValidation type="list" operator="equal" allowBlank="1" showInputMessage="1" showErrorMessage="1" sqref="I200:I229 I231:I238" xr:uid="{00000000-0002-0000-0000-000009000000}">
      <formula1>$I$1:$I$3</formula1>
    </dataValidation>
    <dataValidation type="list" allowBlank="1" showInputMessage="1" showErrorMessage="1" sqref="F231:F238 F200:F229" xr:uid="{00000000-0002-0000-0000-00000A000000}">
      <formula1>$F$1:$F$159</formula1>
    </dataValidation>
    <dataValidation type="whole" allowBlank="1" showInputMessage="1" showErrorMessage="1" sqref="B231:C238 B200:C229" xr:uid="{00000000-0002-0000-0000-00000B000000}">
      <formula1>40</formula1>
      <formula2>2500</formula2>
    </dataValidation>
    <dataValidation type="whole" allowBlank="1" showInputMessage="1" showErrorMessage="1" sqref="D231:D238 D200:D229" xr:uid="{00000000-0002-0000-0000-00000C000000}">
      <formula1>0</formula1>
      <formula2>900</formula2>
    </dataValidation>
    <dataValidation type="list" allowBlank="1" showInputMessage="1" showErrorMessage="1" sqref="F243:F252" xr:uid="{00000000-0002-0000-0000-00000D000000}">
      <formula1>$J$1:$J$171</formula1>
    </dataValidation>
    <dataValidation type="list" allowBlank="1" showInputMessage="1" showErrorMessage="1" sqref="B256:F265" xr:uid="{00000000-0002-0000-0000-00000E000000}">
      <formula1>$Y$1:$Y$47</formula1>
    </dataValidation>
    <dataValidation type="list" allowBlank="1" showInputMessage="1" showErrorMessage="1" sqref="E230 E199" xr:uid="{00000000-0002-0000-0000-00000F000000}">
      <formula1>$E$2:$E$10</formula1>
    </dataValidation>
  </dataValidations>
  <printOptions horizontalCentered="1"/>
  <pageMargins left="0.53" right="0.36" top="0.23622047244094491" bottom="0.35" header="0.35433070866141736" footer="0.23622047244094491"/>
  <pageSetup paperSize="9" scale="59" orientation="portrait" blackAndWhite="1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Drop Down 5">
              <controlPr locked="0" defaultSize="0" autoLine="0" autoPict="0">
                <anchor moveWithCells="1">
                  <from>
                    <xdr:col>5</xdr:col>
                    <xdr:colOff>9525</xdr:colOff>
                    <xdr:row>194</xdr:row>
                    <xdr:rowOff>142875</xdr:rowOff>
                  </from>
                  <to>
                    <xdr:col>8</xdr:col>
                    <xdr:colOff>342900</xdr:colOff>
                    <xdr:row>195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Drop Down 10">
              <controlPr locked="0" defaultSize="0" autoLine="0" autoPict="0">
                <anchor moveWithCells="1">
                  <from>
                    <xdr:col>0</xdr:col>
                    <xdr:colOff>19050</xdr:colOff>
                    <xdr:row>195</xdr:row>
                    <xdr:rowOff>9525</xdr:rowOff>
                  </from>
                  <to>
                    <xdr:col>4</xdr:col>
                    <xdr:colOff>419100</xdr:colOff>
                    <xdr:row>196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6"/>
  <dimension ref="B2:D15"/>
  <sheetViews>
    <sheetView showGridLines="0" zoomScale="115" workbookViewId="0">
      <selection activeCell="D31" sqref="D31"/>
    </sheetView>
  </sheetViews>
  <sheetFormatPr defaultRowHeight="12.75" x14ac:dyDescent="0.2"/>
  <sheetData>
    <row r="2" spans="2:4" ht="15.75" x14ac:dyDescent="0.25">
      <c r="B2" s="181"/>
      <c r="C2" s="181"/>
      <c r="D2" s="184" t="s">
        <v>673</v>
      </c>
    </row>
    <row r="5" spans="2:4" x14ac:dyDescent="0.2">
      <c r="B5" s="181" t="s">
        <v>674</v>
      </c>
      <c r="C5" s="181"/>
      <c r="D5" s="181"/>
    </row>
    <row r="6" spans="2:4" x14ac:dyDescent="0.2">
      <c r="B6" s="185"/>
      <c r="C6" s="181"/>
      <c r="D6" s="181"/>
    </row>
    <row r="7" spans="2:4" x14ac:dyDescent="0.2">
      <c r="B7" s="181" t="s">
        <v>675</v>
      </c>
      <c r="C7" s="181"/>
      <c r="D7" s="181"/>
    </row>
    <row r="8" spans="2:4" x14ac:dyDescent="0.2">
      <c r="B8" s="181" t="s">
        <v>676</v>
      </c>
      <c r="C8" s="181"/>
      <c r="D8" s="181"/>
    </row>
    <row r="9" spans="2:4" x14ac:dyDescent="0.2">
      <c r="B9" s="185" t="s">
        <v>677</v>
      </c>
      <c r="C9" s="181"/>
      <c r="D9" s="181"/>
    </row>
    <row r="10" spans="2:4" x14ac:dyDescent="0.2">
      <c r="B10" s="181" t="s">
        <v>678</v>
      </c>
      <c r="C10" s="181"/>
      <c r="D10" s="181"/>
    </row>
    <row r="11" spans="2:4" x14ac:dyDescent="0.2">
      <c r="B11" s="181"/>
      <c r="C11" s="182"/>
      <c r="D11" s="181" t="s">
        <v>679</v>
      </c>
    </row>
    <row r="12" spans="2:4" x14ac:dyDescent="0.2">
      <c r="B12" s="181"/>
      <c r="C12" s="183"/>
      <c r="D12" s="181" t="s">
        <v>680</v>
      </c>
    </row>
    <row r="13" spans="2:4" x14ac:dyDescent="0.2">
      <c r="B13" s="181" t="s">
        <v>681</v>
      </c>
      <c r="C13" s="181"/>
      <c r="D13" s="181"/>
    </row>
    <row r="14" spans="2:4" x14ac:dyDescent="0.2">
      <c r="B14" s="185" t="s">
        <v>683</v>
      </c>
      <c r="C14" s="181"/>
      <c r="D14" s="181"/>
    </row>
    <row r="15" spans="2:4" x14ac:dyDescent="0.2">
      <c r="B15" s="185" t="s">
        <v>682</v>
      </c>
      <c r="C15" s="181"/>
      <c r="D15" s="181"/>
    </row>
  </sheetData>
  <sheetProtection autoFilter="0"/>
  <customSheetViews>
    <customSheetView guid="{700CC08B-C9E0-4A9E-9D69-3098FEE5461F}" scale="115" showGridLines="0">
      <selection activeCell="B20" sqref="B20"/>
      <pageMargins left="0.75" right="0.75" top="1" bottom="1" header="0.5" footer="0.5"/>
      <pageSetup paperSize="9" orientation="portrait" r:id="rId1"/>
      <headerFooter alignWithMargins="0"/>
    </customSheetView>
  </customSheetViews>
  <phoneticPr fontId="3" type="noConversion"/>
  <pageMargins left="0.75" right="0.75" top="1" bottom="1" header="0.5" footer="0.5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/>
  <dimension ref="A1:AE193"/>
  <sheetViews>
    <sheetView zoomScale="85" zoomScaleNormal="85" workbookViewId="0">
      <selection activeCell="B2" sqref="B2"/>
    </sheetView>
  </sheetViews>
  <sheetFormatPr defaultRowHeight="12.75" x14ac:dyDescent="0.2"/>
  <cols>
    <col min="1" max="1" width="10.28515625" bestFit="1" customWidth="1"/>
    <col min="2" max="2" width="31.5703125" bestFit="1" customWidth="1"/>
    <col min="3" max="4" width="8.85546875" customWidth="1"/>
    <col min="5" max="6" width="10.85546875" customWidth="1"/>
    <col min="7" max="7" width="10.85546875" style="151" customWidth="1"/>
    <col min="8" max="8" width="10.85546875" customWidth="1"/>
    <col min="9" max="11" width="10.85546875" style="59" customWidth="1"/>
    <col min="12" max="12" width="10.85546875" style="175" customWidth="1"/>
    <col min="13" max="14" width="10.85546875" style="59" customWidth="1"/>
    <col min="15" max="15" width="10.5703125" customWidth="1"/>
    <col min="16" max="16" width="8.7109375" customWidth="1"/>
    <col min="17" max="17" width="9.42578125" customWidth="1"/>
    <col min="18" max="26" width="9.42578125" style="61" customWidth="1"/>
    <col min="27" max="29" width="10.140625" style="145" customWidth="1"/>
    <col min="30" max="30" width="9.140625" style="145" customWidth="1"/>
    <col min="31" max="31" width="9.140625" style="145"/>
    <col min="32" max="16384" width="9.140625" style="61"/>
  </cols>
  <sheetData>
    <row r="1" spans="1:31" x14ac:dyDescent="0.2">
      <c r="B1" s="103" t="s">
        <v>689</v>
      </c>
      <c r="P1" s="163" t="s">
        <v>311</v>
      </c>
      <c r="W1" s="151"/>
      <c r="X1" s="151"/>
      <c r="AB1" s="145" t="s">
        <v>307</v>
      </c>
      <c r="AD1" s="145" t="s">
        <v>193</v>
      </c>
    </row>
    <row r="2" spans="1:31" x14ac:dyDescent="0.2">
      <c r="B2" s="42" t="s">
        <v>11</v>
      </c>
      <c r="C2" s="5" t="s">
        <v>12</v>
      </c>
      <c r="D2" s="5">
        <v>16</v>
      </c>
      <c r="E2" s="5">
        <v>19</v>
      </c>
      <c r="F2" s="5">
        <v>10</v>
      </c>
      <c r="G2" s="174">
        <v>30</v>
      </c>
      <c r="H2" s="5">
        <v>38</v>
      </c>
      <c r="I2" s="58" t="s">
        <v>106</v>
      </c>
      <c r="J2" s="58" t="s">
        <v>107</v>
      </c>
      <c r="K2" s="58" t="s">
        <v>108</v>
      </c>
      <c r="L2" s="176" t="s">
        <v>109</v>
      </c>
      <c r="M2" s="58" t="s">
        <v>110</v>
      </c>
      <c r="N2" s="58" t="s">
        <v>193</v>
      </c>
      <c r="P2" t="str">
        <f>C2</f>
        <v>Группа</v>
      </c>
      <c r="Q2">
        <f>F2</f>
        <v>10</v>
      </c>
      <c r="R2" s="61" t="str">
        <f>I2</f>
        <v>10 (2ст)</v>
      </c>
      <c r="S2" s="61">
        <f>D2</f>
        <v>16</v>
      </c>
      <c r="T2" s="61" t="str">
        <f>J2</f>
        <v>16 (2ст)</v>
      </c>
      <c r="U2" s="61">
        <f>E2</f>
        <v>19</v>
      </c>
      <c r="V2" s="61" t="str">
        <f>K2</f>
        <v>19 (2ст)</v>
      </c>
      <c r="W2" s="151">
        <f>G2</f>
        <v>30</v>
      </c>
      <c r="X2" s="151" t="str">
        <f>L2</f>
        <v>30 (2ст)</v>
      </c>
      <c r="Y2" s="61">
        <f>H2</f>
        <v>38</v>
      </c>
      <c r="Z2" s="61" t="str">
        <f>M2</f>
        <v>38 (2ст)</v>
      </c>
      <c r="AA2" s="145" t="s">
        <v>308</v>
      </c>
      <c r="AB2" s="145">
        <v>16</v>
      </c>
      <c r="AC2" s="145">
        <v>19</v>
      </c>
    </row>
    <row r="3" spans="1:31" x14ac:dyDescent="0.2">
      <c r="C3" s="61">
        <v>1</v>
      </c>
      <c r="D3" s="145">
        <v>2900</v>
      </c>
      <c r="E3" s="145">
        <v>3000</v>
      </c>
      <c r="F3" s="146">
        <v>3670</v>
      </c>
      <c r="G3" s="166">
        <v>3013</v>
      </c>
      <c r="H3" s="146">
        <v>4087</v>
      </c>
      <c r="I3" s="161">
        <f>F3*1.5</f>
        <v>5505</v>
      </c>
      <c r="J3" s="161">
        <f>D3*1.5</f>
        <v>4350</v>
      </c>
      <c r="K3" s="161">
        <f t="shared" ref="K3:K6" si="0">E3*1.5</f>
        <v>4500</v>
      </c>
      <c r="L3" s="177">
        <f>G3*1.5</f>
        <v>4519.5</v>
      </c>
      <c r="M3" s="161">
        <f>H3*1.5</f>
        <v>6130.5</v>
      </c>
      <c r="N3" s="62" t="s">
        <v>34</v>
      </c>
      <c r="P3" s="61">
        <f t="shared" ref="P3:P14" si="1">C3</f>
        <v>1</v>
      </c>
      <c r="Q3" s="61">
        <f t="shared" ref="Q3:Q14" si="2">F3</f>
        <v>3670</v>
      </c>
      <c r="R3" s="61">
        <f t="shared" ref="R3:R14" si="3">I3</f>
        <v>5505</v>
      </c>
      <c r="S3" s="61">
        <f t="shared" ref="S3:S14" si="4">D3</f>
        <v>2900</v>
      </c>
      <c r="T3" s="61">
        <f t="shared" ref="T3:T14" si="5">J3</f>
        <v>4350</v>
      </c>
      <c r="U3" s="61">
        <f t="shared" ref="U3:U14" si="6">E3</f>
        <v>3000</v>
      </c>
      <c r="V3" s="61">
        <f t="shared" ref="V3:V14" si="7">K3</f>
        <v>4500</v>
      </c>
      <c r="W3" s="61">
        <f t="shared" ref="W3:W14" si="8">G3</f>
        <v>3013</v>
      </c>
      <c r="X3" s="61">
        <f t="shared" ref="X3:X14" si="9">L3</f>
        <v>4519.5</v>
      </c>
      <c r="Y3" s="61">
        <f t="shared" ref="Y3:Y14" si="10">H3</f>
        <v>4087</v>
      </c>
      <c r="Z3" s="61">
        <f t="shared" ref="Z3:Z14" si="11">M3</f>
        <v>6130.5</v>
      </c>
      <c r="AA3" s="145">
        <v>1700</v>
      </c>
      <c r="AB3" s="145">
        <v>4080</v>
      </c>
      <c r="AC3" s="145">
        <v>4280</v>
      </c>
    </row>
    <row r="4" spans="1:31" x14ac:dyDescent="0.2">
      <c r="C4">
        <v>2</v>
      </c>
      <c r="D4" s="145">
        <v>3400</v>
      </c>
      <c r="E4" s="145">
        <v>3500</v>
      </c>
      <c r="F4" s="146">
        <v>4170</v>
      </c>
      <c r="G4" s="166">
        <v>3043</v>
      </c>
      <c r="H4" s="146">
        <v>4187</v>
      </c>
      <c r="I4" s="161">
        <f t="shared" ref="I4:I6" si="12">F4*1.5</f>
        <v>6255</v>
      </c>
      <c r="J4" s="161">
        <f t="shared" ref="J4:J6" si="13">D4*1.5</f>
        <v>5100</v>
      </c>
      <c r="K4" s="161">
        <f t="shared" si="0"/>
        <v>5250</v>
      </c>
      <c r="L4" s="177">
        <f t="shared" ref="L4:L6" si="14">G4*1.5</f>
        <v>4564.5</v>
      </c>
      <c r="M4" s="161">
        <f t="shared" ref="M4:M6" si="15">H4*1.5</f>
        <v>6280.5</v>
      </c>
      <c r="N4" s="62" t="s">
        <v>34</v>
      </c>
      <c r="P4" s="61">
        <f t="shared" si="1"/>
        <v>2</v>
      </c>
      <c r="Q4" s="61">
        <f t="shared" si="2"/>
        <v>4170</v>
      </c>
      <c r="R4" s="61">
        <f t="shared" si="3"/>
        <v>6255</v>
      </c>
      <c r="S4" s="61">
        <f t="shared" si="4"/>
        <v>3400</v>
      </c>
      <c r="T4" s="61">
        <f t="shared" si="5"/>
        <v>5100</v>
      </c>
      <c r="U4" s="61">
        <f t="shared" si="6"/>
        <v>3500</v>
      </c>
      <c r="V4" s="61">
        <f t="shared" si="7"/>
        <v>5250</v>
      </c>
      <c r="W4" s="61">
        <f t="shared" si="8"/>
        <v>3043</v>
      </c>
      <c r="X4" s="61">
        <f t="shared" si="9"/>
        <v>4564.5</v>
      </c>
      <c r="Y4" s="61">
        <f t="shared" si="10"/>
        <v>4187</v>
      </c>
      <c r="Z4" s="61">
        <f t="shared" si="11"/>
        <v>6280.5</v>
      </c>
      <c r="AA4" s="145">
        <v>1800</v>
      </c>
      <c r="AB4" s="145">
        <v>4500</v>
      </c>
      <c r="AC4" s="145">
        <v>4700</v>
      </c>
    </row>
    <row r="5" spans="1:31" x14ac:dyDescent="0.2">
      <c r="C5">
        <v>3</v>
      </c>
      <c r="D5" s="145">
        <v>3800</v>
      </c>
      <c r="E5" s="145">
        <v>3900</v>
      </c>
      <c r="F5" s="146">
        <v>4570</v>
      </c>
      <c r="G5" s="166">
        <v>3120</v>
      </c>
      <c r="H5" s="146">
        <v>4337</v>
      </c>
      <c r="I5" s="161">
        <f t="shared" si="12"/>
        <v>6855</v>
      </c>
      <c r="J5" s="161">
        <f t="shared" si="13"/>
        <v>5700</v>
      </c>
      <c r="K5" s="161">
        <f t="shared" si="0"/>
        <v>5850</v>
      </c>
      <c r="L5" s="177">
        <f t="shared" si="14"/>
        <v>4680</v>
      </c>
      <c r="M5" s="161">
        <f t="shared" si="15"/>
        <v>6505.5</v>
      </c>
      <c r="N5" s="62" t="s">
        <v>34</v>
      </c>
      <c r="P5" s="61">
        <f t="shared" si="1"/>
        <v>3</v>
      </c>
      <c r="Q5" s="186">
        <f>F5</f>
        <v>4570</v>
      </c>
      <c r="R5" s="61">
        <f t="shared" si="3"/>
        <v>6855</v>
      </c>
      <c r="S5" s="61">
        <f t="shared" si="4"/>
        <v>3800</v>
      </c>
      <c r="T5" s="61">
        <f t="shared" si="5"/>
        <v>5700</v>
      </c>
      <c r="U5" s="61">
        <f t="shared" si="6"/>
        <v>3900</v>
      </c>
      <c r="V5" s="61">
        <f t="shared" si="7"/>
        <v>5850</v>
      </c>
      <c r="W5" s="61">
        <f t="shared" si="8"/>
        <v>3120</v>
      </c>
      <c r="X5" s="61">
        <f t="shared" si="9"/>
        <v>4680</v>
      </c>
      <c r="Y5" s="61">
        <f t="shared" si="10"/>
        <v>4337</v>
      </c>
      <c r="Z5" s="61">
        <f t="shared" si="11"/>
        <v>6505.5</v>
      </c>
      <c r="AA5" s="145">
        <v>1805</v>
      </c>
      <c r="AB5" s="145">
        <v>4700</v>
      </c>
      <c r="AC5" s="145">
        <v>4900</v>
      </c>
    </row>
    <row r="6" spans="1:31" x14ac:dyDescent="0.2">
      <c r="C6">
        <v>4</v>
      </c>
      <c r="D6" s="145">
        <v>4500</v>
      </c>
      <c r="E6" s="145">
        <v>4600</v>
      </c>
      <c r="F6" s="146">
        <v>5500</v>
      </c>
      <c r="G6" s="166">
        <v>3210</v>
      </c>
      <c r="H6" s="146">
        <v>4487</v>
      </c>
      <c r="I6" s="161">
        <f t="shared" si="12"/>
        <v>8250</v>
      </c>
      <c r="J6" s="161">
        <f t="shared" si="13"/>
        <v>6750</v>
      </c>
      <c r="K6" s="161">
        <f t="shared" si="0"/>
        <v>6900</v>
      </c>
      <c r="L6" s="177">
        <f t="shared" si="14"/>
        <v>4815</v>
      </c>
      <c r="M6" s="161">
        <f t="shared" si="15"/>
        <v>6730.5</v>
      </c>
      <c r="N6" s="62" t="s">
        <v>34</v>
      </c>
      <c r="P6" s="61">
        <f t="shared" si="1"/>
        <v>4</v>
      </c>
      <c r="Q6" s="61">
        <f t="shared" si="2"/>
        <v>5500</v>
      </c>
      <c r="R6" s="61">
        <f t="shared" si="3"/>
        <v>8250</v>
      </c>
      <c r="S6" s="61">
        <f t="shared" si="4"/>
        <v>4500</v>
      </c>
      <c r="T6" s="61">
        <f t="shared" si="5"/>
        <v>6750</v>
      </c>
      <c r="U6" s="61">
        <f t="shared" si="6"/>
        <v>4600</v>
      </c>
      <c r="V6" s="61">
        <f t="shared" si="7"/>
        <v>6900</v>
      </c>
      <c r="W6" s="61">
        <f t="shared" si="8"/>
        <v>3210</v>
      </c>
      <c r="X6" s="61">
        <f t="shared" si="9"/>
        <v>4815</v>
      </c>
      <c r="Y6" s="61">
        <f t="shared" si="10"/>
        <v>4487</v>
      </c>
      <c r="Z6" s="61">
        <f t="shared" si="11"/>
        <v>6730.5</v>
      </c>
      <c r="AA6" s="145">
        <v>1895</v>
      </c>
      <c r="AB6" s="145">
        <v>4900</v>
      </c>
      <c r="AC6" s="145">
        <v>5100</v>
      </c>
    </row>
    <row r="7" spans="1:31" x14ac:dyDescent="0.2">
      <c r="C7">
        <v>5</v>
      </c>
      <c r="D7" s="145">
        <v>7000</v>
      </c>
      <c r="E7" s="145">
        <v>7000</v>
      </c>
      <c r="F7" s="145">
        <v>7000</v>
      </c>
      <c r="G7" s="145">
        <v>7000</v>
      </c>
      <c r="H7" s="145">
        <v>7000</v>
      </c>
      <c r="I7" s="145">
        <v>7000</v>
      </c>
      <c r="J7" s="145">
        <v>7000</v>
      </c>
      <c r="K7" s="145">
        <v>7000</v>
      </c>
      <c r="L7" s="145">
        <v>7000</v>
      </c>
      <c r="M7" s="145">
        <v>7000</v>
      </c>
      <c r="N7" s="62" t="s">
        <v>34</v>
      </c>
      <c r="P7" s="61">
        <f t="shared" si="1"/>
        <v>5</v>
      </c>
      <c r="Q7" s="61">
        <f t="shared" si="2"/>
        <v>7000</v>
      </c>
      <c r="R7" s="61">
        <f t="shared" si="3"/>
        <v>7000</v>
      </c>
      <c r="S7" s="61">
        <f t="shared" si="4"/>
        <v>7000</v>
      </c>
      <c r="T7" s="61">
        <f t="shared" si="5"/>
        <v>7000</v>
      </c>
      <c r="U7" s="61">
        <f t="shared" si="6"/>
        <v>7000</v>
      </c>
      <c r="V7" s="61">
        <f t="shared" si="7"/>
        <v>7000</v>
      </c>
      <c r="W7" s="61">
        <f t="shared" si="8"/>
        <v>7000</v>
      </c>
      <c r="X7" s="61">
        <f t="shared" si="9"/>
        <v>7000</v>
      </c>
      <c r="Y7" s="61">
        <f t="shared" si="10"/>
        <v>7000</v>
      </c>
      <c r="Z7" s="61">
        <f t="shared" si="11"/>
        <v>7000</v>
      </c>
      <c r="AA7" s="145">
        <v>1978</v>
      </c>
      <c r="AB7" s="145">
        <v>5300</v>
      </c>
      <c r="AC7" s="145">
        <v>5500</v>
      </c>
    </row>
    <row r="8" spans="1:31" x14ac:dyDescent="0.2">
      <c r="C8">
        <v>6</v>
      </c>
      <c r="D8" s="145">
        <v>7000</v>
      </c>
      <c r="E8" s="145">
        <v>7000</v>
      </c>
      <c r="F8" s="145">
        <v>7000</v>
      </c>
      <c r="G8" s="145">
        <v>7000</v>
      </c>
      <c r="H8" s="145">
        <v>7000</v>
      </c>
      <c r="I8" s="145">
        <v>7000</v>
      </c>
      <c r="J8" s="145">
        <v>7000</v>
      </c>
      <c r="K8" s="145">
        <v>7000</v>
      </c>
      <c r="L8" s="145">
        <v>7000</v>
      </c>
      <c r="M8" s="145">
        <v>7000</v>
      </c>
      <c r="N8" s="127" t="s">
        <v>34</v>
      </c>
      <c r="P8" s="61">
        <f t="shared" si="1"/>
        <v>6</v>
      </c>
      <c r="Q8" s="61">
        <f t="shared" si="2"/>
        <v>7000</v>
      </c>
      <c r="R8" s="61">
        <f t="shared" si="3"/>
        <v>7000</v>
      </c>
      <c r="S8" s="61">
        <f t="shared" si="4"/>
        <v>7000</v>
      </c>
      <c r="T8" s="61">
        <f t="shared" si="5"/>
        <v>7000</v>
      </c>
      <c r="U8" s="61">
        <f t="shared" si="6"/>
        <v>7000</v>
      </c>
      <c r="V8" s="61">
        <f t="shared" si="7"/>
        <v>7000</v>
      </c>
      <c r="W8" s="61">
        <f t="shared" si="8"/>
        <v>7000</v>
      </c>
      <c r="X8" s="61">
        <f t="shared" si="9"/>
        <v>7000</v>
      </c>
      <c r="Y8" s="61">
        <f t="shared" si="10"/>
        <v>7000</v>
      </c>
      <c r="Z8" s="61">
        <f t="shared" si="11"/>
        <v>7000</v>
      </c>
      <c r="AA8" s="145">
        <v>2045</v>
      </c>
      <c r="AB8" s="145">
        <v>5600</v>
      </c>
      <c r="AC8" s="145">
        <v>5800</v>
      </c>
    </row>
    <row r="9" spans="1:31" x14ac:dyDescent="0.2">
      <c r="C9">
        <v>7</v>
      </c>
      <c r="D9" s="145">
        <v>7000</v>
      </c>
      <c r="E9" s="145">
        <v>7000</v>
      </c>
      <c r="F9" s="145">
        <v>7000</v>
      </c>
      <c r="G9" s="145">
        <v>7000</v>
      </c>
      <c r="H9" s="145">
        <v>7000</v>
      </c>
      <c r="I9" s="145">
        <v>7000</v>
      </c>
      <c r="J9" s="145">
        <v>7000</v>
      </c>
      <c r="K9" s="145">
        <v>7000</v>
      </c>
      <c r="L9" s="145">
        <v>7000</v>
      </c>
      <c r="M9" s="145">
        <v>7000</v>
      </c>
      <c r="N9" s="127" t="s">
        <v>34</v>
      </c>
      <c r="P9" s="61">
        <f t="shared" si="1"/>
        <v>7</v>
      </c>
      <c r="Q9" s="61">
        <f t="shared" si="2"/>
        <v>7000</v>
      </c>
      <c r="R9" s="61">
        <f t="shared" si="3"/>
        <v>7000</v>
      </c>
      <c r="S9" s="61">
        <f t="shared" si="4"/>
        <v>7000</v>
      </c>
      <c r="T9" s="61">
        <f t="shared" si="5"/>
        <v>7000</v>
      </c>
      <c r="U9" s="61">
        <f t="shared" si="6"/>
        <v>7000</v>
      </c>
      <c r="V9" s="61">
        <f t="shared" si="7"/>
        <v>7000</v>
      </c>
      <c r="W9" s="61">
        <f t="shared" si="8"/>
        <v>7000</v>
      </c>
      <c r="X9" s="61">
        <f t="shared" si="9"/>
        <v>7000</v>
      </c>
      <c r="Y9" s="61">
        <f t="shared" si="10"/>
        <v>7000</v>
      </c>
      <c r="Z9" s="61">
        <f t="shared" si="11"/>
        <v>7000</v>
      </c>
      <c r="AA9" s="145">
        <v>2118</v>
      </c>
      <c r="AB9" s="145">
        <v>5900</v>
      </c>
      <c r="AC9" s="145">
        <v>6100</v>
      </c>
    </row>
    <row r="10" spans="1:31" x14ac:dyDescent="0.2">
      <c r="C10">
        <v>8</v>
      </c>
      <c r="D10" s="145">
        <v>7000</v>
      </c>
      <c r="E10" s="145">
        <v>7000</v>
      </c>
      <c r="F10" s="145">
        <v>7000</v>
      </c>
      <c r="G10" s="145">
        <v>7000</v>
      </c>
      <c r="H10" s="145">
        <v>7000</v>
      </c>
      <c r="I10" s="145">
        <v>7000</v>
      </c>
      <c r="J10" s="145">
        <v>7000</v>
      </c>
      <c r="K10" s="145">
        <v>7000</v>
      </c>
      <c r="L10" s="145">
        <v>7000</v>
      </c>
      <c r="M10" s="145">
        <v>7000</v>
      </c>
      <c r="N10" s="127" t="s">
        <v>34</v>
      </c>
      <c r="P10" s="61">
        <f t="shared" si="1"/>
        <v>8</v>
      </c>
      <c r="Q10" s="61">
        <f t="shared" si="2"/>
        <v>7000</v>
      </c>
      <c r="R10" s="61">
        <f t="shared" si="3"/>
        <v>7000</v>
      </c>
      <c r="S10" s="61">
        <f t="shared" si="4"/>
        <v>7000</v>
      </c>
      <c r="T10" s="61">
        <f t="shared" si="5"/>
        <v>7000</v>
      </c>
      <c r="U10" s="61">
        <f t="shared" si="6"/>
        <v>7000</v>
      </c>
      <c r="V10" s="61">
        <f t="shared" si="7"/>
        <v>7000</v>
      </c>
      <c r="W10" s="61">
        <f t="shared" si="8"/>
        <v>7000</v>
      </c>
      <c r="X10" s="61">
        <f t="shared" si="9"/>
        <v>7000</v>
      </c>
      <c r="Y10" s="61">
        <f t="shared" si="10"/>
        <v>7000</v>
      </c>
      <c r="Z10" s="61">
        <f t="shared" si="11"/>
        <v>7000</v>
      </c>
      <c r="AA10" s="145">
        <v>2290</v>
      </c>
      <c r="AB10" s="145">
        <v>9000</v>
      </c>
      <c r="AC10" s="145">
        <v>9000</v>
      </c>
    </row>
    <row r="11" spans="1:31" s="128" customFormat="1" x14ac:dyDescent="0.2">
      <c r="A11" s="108"/>
      <c r="B11" s="108"/>
      <c r="C11" s="108">
        <v>9</v>
      </c>
      <c r="D11" s="145">
        <v>7000</v>
      </c>
      <c r="E11" s="145">
        <v>7000</v>
      </c>
      <c r="F11" s="145">
        <v>7000</v>
      </c>
      <c r="G11" s="145">
        <v>7000</v>
      </c>
      <c r="H11" s="145">
        <v>7000</v>
      </c>
      <c r="I11" s="145">
        <v>7000</v>
      </c>
      <c r="J11" s="145">
        <v>7000</v>
      </c>
      <c r="K11" s="145">
        <v>7000</v>
      </c>
      <c r="L11" s="145">
        <v>7000</v>
      </c>
      <c r="M11" s="145">
        <v>7000</v>
      </c>
      <c r="N11" s="127" t="s">
        <v>34</v>
      </c>
      <c r="O11"/>
      <c r="P11" s="61">
        <f t="shared" si="1"/>
        <v>9</v>
      </c>
      <c r="Q11" s="61">
        <f t="shared" si="2"/>
        <v>7000</v>
      </c>
      <c r="R11" s="61">
        <f t="shared" si="3"/>
        <v>7000</v>
      </c>
      <c r="S11" s="61">
        <f t="shared" si="4"/>
        <v>7000</v>
      </c>
      <c r="T11" s="61">
        <f t="shared" si="5"/>
        <v>7000</v>
      </c>
      <c r="U11" s="61">
        <f t="shared" si="6"/>
        <v>7000</v>
      </c>
      <c r="V11" s="61">
        <f t="shared" si="7"/>
        <v>7000</v>
      </c>
      <c r="W11" s="61">
        <f t="shared" si="8"/>
        <v>7000</v>
      </c>
      <c r="X11" s="61">
        <f t="shared" si="9"/>
        <v>7000</v>
      </c>
      <c r="Y11" s="61">
        <f t="shared" si="10"/>
        <v>7000</v>
      </c>
      <c r="Z11" s="61">
        <f t="shared" si="11"/>
        <v>7000</v>
      </c>
      <c r="AA11" s="145">
        <v>2395</v>
      </c>
      <c r="AB11" s="145">
        <v>9000</v>
      </c>
      <c r="AC11" s="145">
        <v>9000</v>
      </c>
      <c r="AD11" s="145"/>
      <c r="AE11" s="145"/>
    </row>
    <row r="12" spans="1:31" x14ac:dyDescent="0.2">
      <c r="C12">
        <v>10</v>
      </c>
      <c r="D12" s="145">
        <v>7000</v>
      </c>
      <c r="E12" s="145">
        <v>7000</v>
      </c>
      <c r="F12" s="145">
        <v>7000</v>
      </c>
      <c r="G12" s="145">
        <v>7000</v>
      </c>
      <c r="H12" s="145">
        <v>7000</v>
      </c>
      <c r="I12" s="145">
        <v>7000</v>
      </c>
      <c r="J12" s="145">
        <v>7000</v>
      </c>
      <c r="K12" s="145">
        <v>7000</v>
      </c>
      <c r="L12" s="145">
        <v>7000</v>
      </c>
      <c r="M12" s="145">
        <v>7000</v>
      </c>
      <c r="N12" s="127" t="s">
        <v>34</v>
      </c>
      <c r="P12" s="61">
        <f t="shared" si="1"/>
        <v>10</v>
      </c>
      <c r="Q12" s="61">
        <f t="shared" si="2"/>
        <v>7000</v>
      </c>
      <c r="R12" s="61">
        <f t="shared" si="3"/>
        <v>7000</v>
      </c>
      <c r="S12" s="61">
        <f t="shared" si="4"/>
        <v>7000</v>
      </c>
      <c r="T12" s="61">
        <f t="shared" si="5"/>
        <v>7000</v>
      </c>
      <c r="U12" s="61">
        <f t="shared" si="6"/>
        <v>7000</v>
      </c>
      <c r="V12" s="61">
        <f t="shared" si="7"/>
        <v>7000</v>
      </c>
      <c r="W12" s="61">
        <f t="shared" si="8"/>
        <v>7000</v>
      </c>
      <c r="X12" s="61">
        <f t="shared" si="9"/>
        <v>7000</v>
      </c>
      <c r="Y12" s="61">
        <f t="shared" si="10"/>
        <v>7000</v>
      </c>
      <c r="Z12" s="61">
        <f t="shared" si="11"/>
        <v>7000</v>
      </c>
      <c r="AA12" s="145">
        <v>2440</v>
      </c>
      <c r="AB12" s="145">
        <v>9000</v>
      </c>
      <c r="AC12" s="145">
        <v>9000</v>
      </c>
    </row>
    <row r="13" spans="1:31" x14ac:dyDescent="0.2">
      <c r="C13" t="s">
        <v>193</v>
      </c>
      <c r="D13" s="142" t="s">
        <v>34</v>
      </c>
      <c r="E13" s="142" t="s">
        <v>34</v>
      </c>
      <c r="F13" s="142" t="s">
        <v>34</v>
      </c>
      <c r="G13" s="167" t="s">
        <v>34</v>
      </c>
      <c r="H13" s="142" t="s">
        <v>34</v>
      </c>
      <c r="I13" s="62" t="s">
        <v>34</v>
      </c>
      <c r="J13" s="62" t="s">
        <v>34</v>
      </c>
      <c r="K13" s="62" t="s">
        <v>34</v>
      </c>
      <c r="L13" s="175" t="s">
        <v>34</v>
      </c>
      <c r="M13" s="62" t="s">
        <v>34</v>
      </c>
      <c r="N13" s="161">
        <v>2800</v>
      </c>
      <c r="P13" s="61" t="str">
        <f t="shared" si="1"/>
        <v>Грати</v>
      </c>
      <c r="Q13" s="61" t="str">
        <f t="shared" si="2"/>
        <v>нет</v>
      </c>
      <c r="R13" s="61" t="str">
        <f t="shared" si="3"/>
        <v>нет</v>
      </c>
      <c r="S13" s="61" t="str">
        <f t="shared" si="4"/>
        <v>нет</v>
      </c>
      <c r="T13" s="61" t="str">
        <f t="shared" si="5"/>
        <v>нет</v>
      </c>
      <c r="U13" s="61" t="str">
        <f t="shared" si="6"/>
        <v>нет</v>
      </c>
      <c r="V13" s="61" t="str">
        <f t="shared" si="7"/>
        <v>нет</v>
      </c>
      <c r="W13" s="61" t="str">
        <f t="shared" si="8"/>
        <v>нет</v>
      </c>
      <c r="X13" s="61" t="str">
        <f t="shared" si="9"/>
        <v>нет</v>
      </c>
      <c r="Y13" s="61" t="str">
        <f t="shared" si="10"/>
        <v>нет</v>
      </c>
      <c r="Z13" s="61" t="str">
        <f t="shared" si="11"/>
        <v>нет</v>
      </c>
      <c r="AD13" s="145">
        <f>N13</f>
        <v>2800</v>
      </c>
    </row>
    <row r="14" spans="1:31" x14ac:dyDescent="0.2">
      <c r="C14" s="61" t="s">
        <v>277</v>
      </c>
      <c r="D14" s="145">
        <v>1800</v>
      </c>
      <c r="E14" s="145">
        <v>1900</v>
      </c>
      <c r="F14" s="146">
        <f>F3-190+30+30-50</f>
        <v>3490</v>
      </c>
      <c r="G14" s="166">
        <f>G3-190+30+30-50</f>
        <v>2833</v>
      </c>
      <c r="H14" s="146">
        <v>3907</v>
      </c>
      <c r="I14" s="142" t="s">
        <v>34</v>
      </c>
      <c r="J14" s="142" t="s">
        <v>34</v>
      </c>
      <c r="K14" s="142" t="s">
        <v>34</v>
      </c>
      <c r="L14" s="167" t="s">
        <v>34</v>
      </c>
      <c r="M14" s="142" t="s">
        <v>34</v>
      </c>
      <c r="N14" s="161">
        <v>900</v>
      </c>
      <c r="O14" s="151">
        <f>N14*0.74</f>
        <v>666</v>
      </c>
      <c r="P14" s="61" t="str">
        <f t="shared" si="1"/>
        <v>Фрезерование</v>
      </c>
      <c r="Q14" s="61">
        <f t="shared" si="2"/>
        <v>3490</v>
      </c>
      <c r="R14" s="61" t="str">
        <f t="shared" si="3"/>
        <v>нет</v>
      </c>
      <c r="S14" s="61">
        <f t="shared" si="4"/>
        <v>1800</v>
      </c>
      <c r="T14" s="61" t="str">
        <f t="shared" si="5"/>
        <v>нет</v>
      </c>
      <c r="U14" s="61">
        <f t="shared" si="6"/>
        <v>1900</v>
      </c>
      <c r="V14" s="61" t="str">
        <f t="shared" si="7"/>
        <v>нет</v>
      </c>
      <c r="W14" s="61">
        <f t="shared" si="8"/>
        <v>2833</v>
      </c>
      <c r="X14" s="61" t="str">
        <f t="shared" si="9"/>
        <v>нет</v>
      </c>
      <c r="Y14" s="61">
        <f t="shared" si="10"/>
        <v>3907</v>
      </c>
      <c r="Z14" s="61" t="str">
        <f t="shared" si="11"/>
        <v>нет</v>
      </c>
      <c r="AB14" s="145">
        <v>3500</v>
      </c>
      <c r="AC14" s="145">
        <v>3700</v>
      </c>
      <c r="AD14" s="145">
        <f>N14</f>
        <v>900</v>
      </c>
    </row>
    <row r="17" spans="1:29" x14ac:dyDescent="0.2">
      <c r="A17" s="20"/>
      <c r="B17" s="20"/>
      <c r="C17" s="20"/>
      <c r="D17" s="20">
        <f>D2</f>
        <v>16</v>
      </c>
      <c r="E17" s="20">
        <f>E2</f>
        <v>19</v>
      </c>
      <c r="F17" s="20">
        <f>F2</f>
        <v>10</v>
      </c>
      <c r="G17" s="174">
        <f>G2</f>
        <v>30</v>
      </c>
      <c r="H17" s="20">
        <f>H2</f>
        <v>38</v>
      </c>
      <c r="I17" s="60" t="str">
        <f t="shared" ref="I17:N17" si="16">I2</f>
        <v>10 (2ст)</v>
      </c>
      <c r="J17" s="60" t="str">
        <f t="shared" si="16"/>
        <v>16 (2ст)</v>
      </c>
      <c r="K17" s="60" t="str">
        <f t="shared" si="16"/>
        <v>19 (2ст)</v>
      </c>
      <c r="L17" s="176" t="str">
        <f t="shared" si="16"/>
        <v>30 (2ст)</v>
      </c>
      <c r="M17" s="60" t="str">
        <f t="shared" si="16"/>
        <v>38 (2ст)</v>
      </c>
      <c r="N17" s="60" t="str">
        <f t="shared" si="16"/>
        <v>Грати</v>
      </c>
    </row>
    <row r="18" spans="1:29" x14ac:dyDescent="0.2">
      <c r="A18">
        <v>1</v>
      </c>
      <c r="B18" s="22" t="s">
        <v>13</v>
      </c>
      <c r="C18" t="s">
        <v>277</v>
      </c>
      <c r="D18">
        <f t="shared" ref="D18:D43" si="17">VLOOKUP($C18,$C$3:$N$14,2,0)</f>
        <v>1800</v>
      </c>
      <c r="E18">
        <f t="shared" ref="E18:E43" si="18">VLOOKUP($C18,$C$3:$N$14,3,0)</f>
        <v>1900</v>
      </c>
      <c r="F18">
        <f t="shared" ref="F18:F43" si="19">VLOOKUP($C18,$C$3:$N$14,4,0)</f>
        <v>3490</v>
      </c>
      <c r="G18" s="151">
        <f t="shared" ref="G18:G43" si="20">VLOOKUP($C18,$C$3:$N$14,5,0)</f>
        <v>2833</v>
      </c>
      <c r="H18">
        <f t="shared" ref="H18:H43" si="21">VLOOKUP($C18,$C$3:$N$14,6,0)</f>
        <v>3907</v>
      </c>
      <c r="I18" s="59" t="str">
        <f t="shared" ref="I18:I43" si="22">VLOOKUP($C18,$C$3:$N$14,7,0)</f>
        <v>нет</v>
      </c>
      <c r="J18" s="59" t="str">
        <f t="shared" ref="J18:J43" si="23">VLOOKUP($C18,$C$3:$N$14,8,0)</f>
        <v>нет</v>
      </c>
      <c r="K18" s="59" t="str">
        <f t="shared" ref="K18:K43" si="24">VLOOKUP($C18,$C$3:$N$14,9,0)</f>
        <v>нет</v>
      </c>
      <c r="L18" s="175" t="str">
        <f t="shared" ref="L18:L43" si="25">VLOOKUP($C18,$C$3:$N$14,10,0)</f>
        <v>нет</v>
      </c>
      <c r="M18" s="59" t="str">
        <f t="shared" ref="M18:M43" si="26">VLOOKUP($C18,$C$3:$N$14,11,0)</f>
        <v>нет</v>
      </c>
      <c r="N18" s="59">
        <f t="shared" ref="N18:N43" si="27">VLOOKUP($C18,$C$3:$N$14,12,0)</f>
        <v>900</v>
      </c>
      <c r="P18" s="5" t="s">
        <v>310</v>
      </c>
    </row>
    <row r="19" spans="1:29" x14ac:dyDescent="0.2">
      <c r="A19">
        <f>A18+1</f>
        <v>2</v>
      </c>
      <c r="B19" s="141" t="s">
        <v>354</v>
      </c>
      <c r="C19" s="141">
        <v>3</v>
      </c>
      <c r="D19">
        <f t="shared" si="17"/>
        <v>3800</v>
      </c>
      <c r="E19">
        <f t="shared" si="18"/>
        <v>3900</v>
      </c>
      <c r="F19">
        <f t="shared" si="19"/>
        <v>4570</v>
      </c>
      <c r="G19" s="151">
        <f t="shared" si="20"/>
        <v>3120</v>
      </c>
      <c r="H19">
        <f t="shared" si="21"/>
        <v>4337</v>
      </c>
      <c r="I19" s="59">
        <f t="shared" si="22"/>
        <v>6855</v>
      </c>
      <c r="J19" s="59">
        <f t="shared" si="23"/>
        <v>5700</v>
      </c>
      <c r="K19" s="59">
        <f t="shared" si="24"/>
        <v>5850</v>
      </c>
      <c r="L19" s="175">
        <f t="shared" si="25"/>
        <v>4680</v>
      </c>
      <c r="M19" s="59">
        <f t="shared" si="26"/>
        <v>6505.5</v>
      </c>
      <c r="N19" s="59" t="str">
        <f t="shared" si="27"/>
        <v>нет</v>
      </c>
      <c r="O19" s="21"/>
      <c r="Q19" s="164">
        <v>1776</v>
      </c>
      <c r="R19" s="165">
        <v>2664</v>
      </c>
      <c r="S19" s="165">
        <v>1668</v>
      </c>
      <c r="T19" s="165">
        <v>2502</v>
      </c>
      <c r="U19" s="165">
        <v>1798</v>
      </c>
      <c r="V19" s="165">
        <v>2697</v>
      </c>
      <c r="W19" s="165">
        <v>2963</v>
      </c>
      <c r="X19" s="165">
        <v>4444.5</v>
      </c>
      <c r="Y19" s="165">
        <v>3293</v>
      </c>
      <c r="Z19" s="165">
        <v>4939.5</v>
      </c>
      <c r="AA19" s="165">
        <v>1648</v>
      </c>
      <c r="AB19" s="165">
        <v>3436</v>
      </c>
      <c r="AC19" s="165">
        <v>3696</v>
      </c>
    </row>
    <row r="20" spans="1:29" x14ac:dyDescent="0.2">
      <c r="A20">
        <f t="shared" ref="A20:A83" si="28">A19+1</f>
        <v>3</v>
      </c>
      <c r="B20" s="141" t="s">
        <v>355</v>
      </c>
      <c r="C20" s="141">
        <v>2</v>
      </c>
      <c r="D20">
        <f t="shared" si="17"/>
        <v>3400</v>
      </c>
      <c r="E20">
        <f t="shared" si="18"/>
        <v>3500</v>
      </c>
      <c r="F20">
        <f t="shared" si="19"/>
        <v>4170</v>
      </c>
      <c r="G20" s="151">
        <f t="shared" si="20"/>
        <v>3043</v>
      </c>
      <c r="H20">
        <f t="shared" si="21"/>
        <v>4187</v>
      </c>
      <c r="I20" s="59">
        <f t="shared" si="22"/>
        <v>6255</v>
      </c>
      <c r="J20" s="59">
        <f t="shared" si="23"/>
        <v>5100</v>
      </c>
      <c r="K20" s="59">
        <f t="shared" si="24"/>
        <v>5250</v>
      </c>
      <c r="L20" s="175">
        <f t="shared" si="25"/>
        <v>4564.5</v>
      </c>
      <c r="M20" s="59">
        <f t="shared" si="26"/>
        <v>6280.5</v>
      </c>
      <c r="N20" s="59" t="str">
        <f t="shared" si="27"/>
        <v>нет</v>
      </c>
      <c r="O20" s="21"/>
      <c r="Q20" s="164">
        <v>1806</v>
      </c>
      <c r="R20" s="165">
        <v>2709</v>
      </c>
      <c r="S20" s="165">
        <v>1708</v>
      </c>
      <c r="T20" s="165">
        <v>2562</v>
      </c>
      <c r="U20" s="165">
        <v>1828</v>
      </c>
      <c r="V20" s="165">
        <v>2742</v>
      </c>
      <c r="W20" s="165">
        <v>2993</v>
      </c>
      <c r="X20" s="165">
        <v>4489.5</v>
      </c>
      <c r="Y20" s="165">
        <v>3323</v>
      </c>
      <c r="Z20" s="165">
        <v>4984.5</v>
      </c>
      <c r="AA20" s="165">
        <v>1678</v>
      </c>
      <c r="AB20" s="165">
        <v>3516</v>
      </c>
      <c r="AC20" s="165">
        <v>3756</v>
      </c>
    </row>
    <row r="21" spans="1:29" x14ac:dyDescent="0.2">
      <c r="A21" s="180">
        <f t="shared" si="28"/>
        <v>4</v>
      </c>
      <c r="B21" s="141" t="s">
        <v>356</v>
      </c>
      <c r="C21" s="141">
        <v>4</v>
      </c>
      <c r="D21">
        <f t="shared" si="17"/>
        <v>4500</v>
      </c>
      <c r="E21">
        <f t="shared" si="18"/>
        <v>4600</v>
      </c>
      <c r="F21">
        <f t="shared" si="19"/>
        <v>5500</v>
      </c>
      <c r="G21" s="151">
        <f t="shared" si="20"/>
        <v>3210</v>
      </c>
      <c r="H21">
        <f t="shared" si="21"/>
        <v>4487</v>
      </c>
      <c r="I21" s="59">
        <f t="shared" si="22"/>
        <v>8250</v>
      </c>
      <c r="J21" s="59">
        <f t="shared" si="23"/>
        <v>6750</v>
      </c>
      <c r="K21" s="59">
        <f t="shared" si="24"/>
        <v>6900</v>
      </c>
      <c r="L21" s="175">
        <f t="shared" si="25"/>
        <v>4815</v>
      </c>
      <c r="M21" s="59">
        <f t="shared" si="26"/>
        <v>6730.5</v>
      </c>
      <c r="N21" s="59" t="str">
        <f t="shared" si="27"/>
        <v>нет</v>
      </c>
      <c r="O21" s="21"/>
      <c r="Q21" s="164">
        <v>1873</v>
      </c>
      <c r="R21" s="165">
        <v>2809.5</v>
      </c>
      <c r="S21" s="165">
        <v>1765</v>
      </c>
      <c r="T21" s="165">
        <v>2647.5</v>
      </c>
      <c r="U21" s="165">
        <v>1895</v>
      </c>
      <c r="V21" s="165">
        <v>2842.5</v>
      </c>
      <c r="W21" s="165">
        <v>3060</v>
      </c>
      <c r="X21" s="165">
        <v>4590</v>
      </c>
      <c r="Y21" s="165">
        <v>3390</v>
      </c>
      <c r="Z21" s="165">
        <v>5085</v>
      </c>
      <c r="AA21" s="165">
        <v>1745</v>
      </c>
      <c r="AB21" s="165">
        <v>3630</v>
      </c>
      <c r="AC21" s="165">
        <v>3890</v>
      </c>
    </row>
    <row r="22" spans="1:29" x14ac:dyDescent="0.2">
      <c r="A22" s="180">
        <f t="shared" si="28"/>
        <v>5</v>
      </c>
      <c r="B22" s="141" t="s">
        <v>357</v>
      </c>
      <c r="C22" s="141">
        <v>2</v>
      </c>
      <c r="D22">
        <f t="shared" si="17"/>
        <v>3400</v>
      </c>
      <c r="E22">
        <f t="shared" si="18"/>
        <v>3500</v>
      </c>
      <c r="F22">
        <f t="shared" si="19"/>
        <v>4170</v>
      </c>
      <c r="G22" s="151">
        <f t="shared" si="20"/>
        <v>3043</v>
      </c>
      <c r="H22">
        <f>VLOOKUP($C22,$C$3:$N$14,6,0)</f>
        <v>4187</v>
      </c>
      <c r="I22" s="59">
        <f t="shared" si="22"/>
        <v>6255</v>
      </c>
      <c r="J22" s="59">
        <f t="shared" si="23"/>
        <v>5100</v>
      </c>
      <c r="K22" s="59">
        <f t="shared" si="24"/>
        <v>5250</v>
      </c>
      <c r="L22" s="175">
        <f t="shared" si="25"/>
        <v>4564.5</v>
      </c>
      <c r="M22" s="59">
        <f t="shared" si="26"/>
        <v>6280.5</v>
      </c>
      <c r="N22" s="59" t="str">
        <f t="shared" si="27"/>
        <v>нет</v>
      </c>
      <c r="O22" s="21"/>
      <c r="Q22" s="164">
        <v>1953</v>
      </c>
      <c r="R22" s="165">
        <v>2929.5</v>
      </c>
      <c r="S22" s="165">
        <v>1845</v>
      </c>
      <c r="T22" s="165">
        <v>2767.5</v>
      </c>
      <c r="U22" s="165">
        <v>1975</v>
      </c>
      <c r="V22" s="165">
        <v>2962.5</v>
      </c>
      <c r="W22" s="165">
        <v>3140</v>
      </c>
      <c r="X22" s="165">
        <v>4710</v>
      </c>
      <c r="Y22" s="165">
        <v>3470</v>
      </c>
      <c r="Z22" s="165">
        <v>5205</v>
      </c>
      <c r="AA22" s="165">
        <v>1825</v>
      </c>
      <c r="AB22" s="165">
        <v>3790</v>
      </c>
      <c r="AC22" s="165">
        <v>4050</v>
      </c>
    </row>
    <row r="23" spans="1:29" x14ac:dyDescent="0.2">
      <c r="A23" s="180">
        <f t="shared" si="28"/>
        <v>6</v>
      </c>
      <c r="B23" s="141" t="s">
        <v>117</v>
      </c>
      <c r="C23" s="141">
        <v>3</v>
      </c>
      <c r="D23">
        <f t="shared" si="17"/>
        <v>3800</v>
      </c>
      <c r="E23">
        <f t="shared" si="18"/>
        <v>3900</v>
      </c>
      <c r="F23">
        <f t="shared" si="19"/>
        <v>4570</v>
      </c>
      <c r="G23" s="151">
        <f t="shared" si="20"/>
        <v>3120</v>
      </c>
      <c r="H23">
        <f t="shared" si="21"/>
        <v>4337</v>
      </c>
      <c r="I23" s="59">
        <f t="shared" si="22"/>
        <v>6855</v>
      </c>
      <c r="J23" s="59">
        <f t="shared" si="23"/>
        <v>5700</v>
      </c>
      <c r="K23" s="59">
        <f t="shared" si="24"/>
        <v>5850</v>
      </c>
      <c r="L23" s="175">
        <f>VLOOKUP($C23,$C$3:$N$14,10,0)</f>
        <v>4680</v>
      </c>
      <c r="M23" s="59">
        <f t="shared" si="26"/>
        <v>6505.5</v>
      </c>
      <c r="N23" s="59" t="str">
        <f t="shared" si="27"/>
        <v>нет</v>
      </c>
      <c r="O23" s="21"/>
      <c r="Q23" s="164">
        <v>2036</v>
      </c>
      <c r="R23" s="165">
        <v>3054</v>
      </c>
      <c r="S23" s="165">
        <v>1948</v>
      </c>
      <c r="T23" s="165">
        <v>2922</v>
      </c>
      <c r="U23" s="165">
        <v>2058</v>
      </c>
      <c r="V23" s="165">
        <v>3087</v>
      </c>
      <c r="W23" s="165">
        <v>3223</v>
      </c>
      <c r="X23" s="165">
        <v>4834.5</v>
      </c>
      <c r="Y23" s="165">
        <v>3553</v>
      </c>
      <c r="Z23" s="165">
        <v>5329.5</v>
      </c>
      <c r="AA23" s="165">
        <v>1908</v>
      </c>
      <c r="AB23" s="165">
        <v>3996</v>
      </c>
      <c r="AC23" s="165">
        <v>4216</v>
      </c>
    </row>
    <row r="24" spans="1:29" x14ac:dyDescent="0.2">
      <c r="A24" s="180">
        <f t="shared" si="28"/>
        <v>7</v>
      </c>
      <c r="B24" s="141" t="s">
        <v>358</v>
      </c>
      <c r="C24" s="141">
        <v>4</v>
      </c>
      <c r="D24">
        <f>VLOOKUP($C24,$C$3:$N$14,2,0)</f>
        <v>4500</v>
      </c>
      <c r="E24">
        <f t="shared" si="18"/>
        <v>4600</v>
      </c>
      <c r="F24">
        <f t="shared" si="19"/>
        <v>5500</v>
      </c>
      <c r="G24" s="151">
        <f t="shared" si="20"/>
        <v>3210</v>
      </c>
      <c r="H24">
        <f t="shared" si="21"/>
        <v>4487</v>
      </c>
      <c r="I24" s="59">
        <f t="shared" si="22"/>
        <v>8250</v>
      </c>
      <c r="J24" s="59">
        <f t="shared" si="23"/>
        <v>6750</v>
      </c>
      <c r="K24" s="59">
        <f t="shared" si="24"/>
        <v>6900</v>
      </c>
      <c r="L24" s="175">
        <f t="shared" si="25"/>
        <v>4815</v>
      </c>
      <c r="M24" s="59">
        <f t="shared" si="26"/>
        <v>6730.5</v>
      </c>
      <c r="N24" s="59" t="str">
        <f t="shared" si="27"/>
        <v>нет</v>
      </c>
      <c r="O24" s="21"/>
      <c r="Q24" s="164">
        <v>2103</v>
      </c>
      <c r="R24" s="165">
        <v>3154.5</v>
      </c>
      <c r="S24" s="165">
        <v>2015</v>
      </c>
      <c r="T24" s="165">
        <v>3022.5</v>
      </c>
      <c r="U24" s="165">
        <v>2125</v>
      </c>
      <c r="V24" s="165">
        <v>3187.5</v>
      </c>
      <c r="W24" s="165">
        <v>3290</v>
      </c>
      <c r="X24" s="165">
        <v>4935</v>
      </c>
      <c r="Y24" s="165">
        <v>3620</v>
      </c>
      <c r="Z24" s="165">
        <v>5430</v>
      </c>
      <c r="AA24" s="165">
        <v>1975</v>
      </c>
      <c r="AB24" s="165">
        <v>4130</v>
      </c>
      <c r="AC24" s="165">
        <v>4350</v>
      </c>
    </row>
    <row r="25" spans="1:29" x14ac:dyDescent="0.2">
      <c r="A25" s="180">
        <f t="shared" si="28"/>
        <v>8</v>
      </c>
      <c r="B25" s="141" t="s">
        <v>359</v>
      </c>
      <c r="C25" s="141">
        <v>4</v>
      </c>
      <c r="D25">
        <f t="shared" si="17"/>
        <v>4500</v>
      </c>
      <c r="E25">
        <f t="shared" si="18"/>
        <v>4600</v>
      </c>
      <c r="F25">
        <f t="shared" si="19"/>
        <v>5500</v>
      </c>
      <c r="G25" s="151">
        <f t="shared" si="20"/>
        <v>3210</v>
      </c>
      <c r="H25">
        <f t="shared" si="21"/>
        <v>4487</v>
      </c>
      <c r="I25" s="59">
        <f t="shared" si="22"/>
        <v>8250</v>
      </c>
      <c r="J25" s="59">
        <f t="shared" si="23"/>
        <v>6750</v>
      </c>
      <c r="K25" s="59">
        <f t="shared" si="24"/>
        <v>6900</v>
      </c>
      <c r="L25" s="175">
        <f t="shared" si="25"/>
        <v>4815</v>
      </c>
      <c r="M25" s="59">
        <f t="shared" si="26"/>
        <v>6730.5</v>
      </c>
      <c r="N25" s="59" t="str">
        <f t="shared" si="27"/>
        <v>нет</v>
      </c>
      <c r="O25" s="21"/>
      <c r="Q25" s="164">
        <v>2176</v>
      </c>
      <c r="R25" s="165">
        <v>3264</v>
      </c>
      <c r="S25" s="165">
        <v>2108</v>
      </c>
      <c r="T25" s="165">
        <v>3162</v>
      </c>
      <c r="U25" s="165">
        <v>2198</v>
      </c>
      <c r="V25" s="165">
        <v>3297</v>
      </c>
      <c r="W25" s="165">
        <v>3363</v>
      </c>
      <c r="X25" s="165">
        <v>5044.5</v>
      </c>
      <c r="Y25" s="165">
        <v>3693</v>
      </c>
      <c r="Z25" s="165">
        <v>5539.5</v>
      </c>
      <c r="AA25" s="165">
        <v>2048</v>
      </c>
      <c r="AB25" s="165">
        <v>4316</v>
      </c>
      <c r="AC25" s="165">
        <v>4496</v>
      </c>
    </row>
    <row r="26" spans="1:29" x14ac:dyDescent="0.2">
      <c r="A26" s="180">
        <f t="shared" si="28"/>
        <v>9</v>
      </c>
      <c r="B26" s="143" t="s">
        <v>118</v>
      </c>
      <c r="C26" s="141">
        <v>3</v>
      </c>
      <c r="D26">
        <f t="shared" si="17"/>
        <v>3800</v>
      </c>
      <c r="E26">
        <f t="shared" si="18"/>
        <v>3900</v>
      </c>
      <c r="F26">
        <f t="shared" si="19"/>
        <v>4570</v>
      </c>
      <c r="G26" s="151">
        <f t="shared" si="20"/>
        <v>3120</v>
      </c>
      <c r="H26">
        <f t="shared" si="21"/>
        <v>4337</v>
      </c>
      <c r="I26" s="59">
        <f t="shared" si="22"/>
        <v>6855</v>
      </c>
      <c r="J26" s="59">
        <f t="shared" si="23"/>
        <v>5700</v>
      </c>
      <c r="K26" s="59">
        <f t="shared" si="24"/>
        <v>5850</v>
      </c>
      <c r="L26" s="175">
        <f t="shared" si="25"/>
        <v>4680</v>
      </c>
      <c r="M26" s="59">
        <f t="shared" si="26"/>
        <v>6505.5</v>
      </c>
      <c r="N26" s="59" t="str">
        <f t="shared" si="27"/>
        <v>нет</v>
      </c>
      <c r="O26" s="21"/>
      <c r="Q26" s="164">
        <v>2348</v>
      </c>
      <c r="R26" s="165">
        <v>3522</v>
      </c>
      <c r="S26" s="165">
        <v>2260</v>
      </c>
      <c r="T26" s="165">
        <v>3390</v>
      </c>
      <c r="U26" s="165">
        <v>2370</v>
      </c>
      <c r="V26" s="165">
        <v>3555</v>
      </c>
      <c r="W26" s="165">
        <v>3535</v>
      </c>
      <c r="X26" s="165">
        <v>5302.5</v>
      </c>
      <c r="Y26" s="165">
        <v>3865</v>
      </c>
      <c r="Z26" s="165">
        <v>5797.5</v>
      </c>
      <c r="AA26" s="165">
        <v>2220</v>
      </c>
      <c r="AB26" s="165">
        <v>4620</v>
      </c>
      <c r="AC26" s="165">
        <v>4840</v>
      </c>
    </row>
    <row r="27" spans="1:29" x14ac:dyDescent="0.2">
      <c r="A27" s="180">
        <f t="shared" si="28"/>
        <v>10</v>
      </c>
      <c r="B27" s="143" t="s">
        <v>360</v>
      </c>
      <c r="C27" s="141">
        <v>1</v>
      </c>
      <c r="D27">
        <f>VLOOKUP($C27,$C$3:$N$14,2,0)</f>
        <v>2900</v>
      </c>
      <c r="E27">
        <f t="shared" si="18"/>
        <v>3000</v>
      </c>
      <c r="F27">
        <f t="shared" si="19"/>
        <v>3670</v>
      </c>
      <c r="G27" s="151">
        <f t="shared" si="20"/>
        <v>3013</v>
      </c>
      <c r="H27">
        <f t="shared" si="21"/>
        <v>4087</v>
      </c>
      <c r="I27" s="59">
        <f t="shared" si="22"/>
        <v>5505</v>
      </c>
      <c r="J27" s="59">
        <f t="shared" si="23"/>
        <v>4350</v>
      </c>
      <c r="K27" s="59">
        <f t="shared" si="24"/>
        <v>4500</v>
      </c>
      <c r="L27" s="175">
        <f t="shared" si="25"/>
        <v>4519.5</v>
      </c>
      <c r="M27" s="59">
        <f t="shared" si="26"/>
        <v>6130.5</v>
      </c>
      <c r="N27" s="59" t="str">
        <f t="shared" si="27"/>
        <v>нет</v>
      </c>
      <c r="O27" s="21"/>
      <c r="Q27" s="164">
        <v>2453</v>
      </c>
      <c r="R27" s="165">
        <v>3679.5</v>
      </c>
      <c r="S27" s="165">
        <v>2375</v>
      </c>
      <c r="T27" s="165">
        <v>3562.5</v>
      </c>
      <c r="U27" s="165">
        <v>2475</v>
      </c>
      <c r="V27" s="165">
        <v>3712.5</v>
      </c>
      <c r="W27" s="165">
        <v>3640</v>
      </c>
      <c r="X27" s="165">
        <v>5460</v>
      </c>
      <c r="Y27" s="165">
        <v>3970</v>
      </c>
      <c r="Z27" s="165">
        <v>5955</v>
      </c>
      <c r="AA27" s="165">
        <v>2325</v>
      </c>
      <c r="AB27" s="165">
        <v>4850</v>
      </c>
      <c r="AC27" s="165">
        <v>5050</v>
      </c>
    </row>
    <row r="28" spans="1:29" x14ac:dyDescent="0.2">
      <c r="A28" s="180">
        <f t="shared" si="28"/>
        <v>11</v>
      </c>
      <c r="B28" s="143" t="s">
        <v>404</v>
      </c>
      <c r="C28" s="141">
        <v>4</v>
      </c>
      <c r="D28">
        <f t="shared" si="17"/>
        <v>4500</v>
      </c>
      <c r="E28">
        <f t="shared" si="18"/>
        <v>4600</v>
      </c>
      <c r="F28">
        <f t="shared" si="19"/>
        <v>5500</v>
      </c>
      <c r="G28" s="151">
        <f t="shared" si="20"/>
        <v>3210</v>
      </c>
      <c r="H28">
        <f t="shared" si="21"/>
        <v>4487</v>
      </c>
      <c r="I28" s="59">
        <f t="shared" si="22"/>
        <v>8250</v>
      </c>
      <c r="J28" s="59">
        <f t="shared" si="23"/>
        <v>6750</v>
      </c>
      <c r="K28" s="59">
        <f t="shared" si="24"/>
        <v>6900</v>
      </c>
      <c r="L28" s="175">
        <f t="shared" si="25"/>
        <v>4815</v>
      </c>
      <c r="M28" s="59">
        <f t="shared" si="26"/>
        <v>6730.5</v>
      </c>
      <c r="N28" s="59" t="str">
        <f t="shared" si="27"/>
        <v>нет</v>
      </c>
      <c r="O28" s="21"/>
      <c r="Q28" s="164">
        <v>2498</v>
      </c>
      <c r="R28" s="165">
        <v>3747</v>
      </c>
      <c r="S28" s="165">
        <v>2415</v>
      </c>
      <c r="T28" s="165">
        <v>3622.5</v>
      </c>
      <c r="U28" s="165">
        <v>2520</v>
      </c>
      <c r="V28" s="165">
        <v>3780</v>
      </c>
      <c r="W28" s="165">
        <v>3685</v>
      </c>
      <c r="X28" s="165">
        <v>5527.5</v>
      </c>
      <c r="Y28" s="165">
        <v>4015</v>
      </c>
      <c r="Z28" s="165">
        <v>6022.5</v>
      </c>
      <c r="AA28" s="165">
        <v>2370</v>
      </c>
      <c r="AB28" s="165">
        <v>4930</v>
      </c>
      <c r="AC28" s="165">
        <v>5140</v>
      </c>
    </row>
    <row r="29" spans="1:29" x14ac:dyDescent="0.2">
      <c r="A29" s="180">
        <f t="shared" si="28"/>
        <v>12</v>
      </c>
      <c r="B29" s="143" t="s">
        <v>395</v>
      </c>
      <c r="C29" s="141">
        <v>4</v>
      </c>
      <c r="D29">
        <f t="shared" si="17"/>
        <v>4500</v>
      </c>
      <c r="E29">
        <f t="shared" si="18"/>
        <v>4600</v>
      </c>
      <c r="F29">
        <f t="shared" si="19"/>
        <v>5500</v>
      </c>
      <c r="G29" s="151">
        <f t="shared" si="20"/>
        <v>3210</v>
      </c>
      <c r="H29">
        <f t="shared" si="21"/>
        <v>4487</v>
      </c>
      <c r="I29" s="59">
        <f t="shared" si="22"/>
        <v>8250</v>
      </c>
      <c r="J29" s="59">
        <f t="shared" si="23"/>
        <v>6750</v>
      </c>
      <c r="K29" s="59">
        <f t="shared" si="24"/>
        <v>6900</v>
      </c>
      <c r="L29" s="175">
        <f t="shared" si="25"/>
        <v>4815</v>
      </c>
      <c r="M29" s="59">
        <f t="shared" si="26"/>
        <v>6730.5</v>
      </c>
      <c r="N29" s="59" t="str">
        <f t="shared" si="27"/>
        <v>нет</v>
      </c>
      <c r="O29" s="21"/>
      <c r="Q29" s="164" t="s">
        <v>34</v>
      </c>
      <c r="R29" s="165" t="s">
        <v>34</v>
      </c>
      <c r="S29" s="165" t="s">
        <v>34</v>
      </c>
      <c r="T29" s="165" t="s">
        <v>34</v>
      </c>
      <c r="U29" s="165" t="s">
        <v>34</v>
      </c>
      <c r="V29" s="165" t="s">
        <v>34</v>
      </c>
      <c r="W29" s="165" t="s">
        <v>34</v>
      </c>
      <c r="X29" s="165" t="s">
        <v>34</v>
      </c>
      <c r="Y29" s="165" t="s">
        <v>34</v>
      </c>
      <c r="Z29" s="165" t="s">
        <v>34</v>
      </c>
      <c r="AA29" s="165"/>
      <c r="AB29" s="165"/>
      <c r="AC29" s="165"/>
    </row>
    <row r="30" spans="1:29" x14ac:dyDescent="0.2">
      <c r="A30" s="180">
        <f t="shared" si="28"/>
        <v>13</v>
      </c>
      <c r="B30" s="143" t="s">
        <v>414</v>
      </c>
      <c r="C30" s="141">
        <v>4</v>
      </c>
      <c r="D30">
        <f t="shared" si="17"/>
        <v>4500</v>
      </c>
      <c r="E30">
        <f t="shared" si="18"/>
        <v>4600</v>
      </c>
      <c r="F30">
        <f t="shared" si="19"/>
        <v>5500</v>
      </c>
      <c r="G30" s="151">
        <f t="shared" si="20"/>
        <v>3210</v>
      </c>
      <c r="H30">
        <f t="shared" si="21"/>
        <v>4487</v>
      </c>
      <c r="I30" s="59">
        <f t="shared" si="22"/>
        <v>8250</v>
      </c>
      <c r="J30" s="59">
        <f t="shared" si="23"/>
        <v>6750</v>
      </c>
      <c r="K30" s="59">
        <f t="shared" si="24"/>
        <v>6900</v>
      </c>
      <c r="L30" s="175">
        <f t="shared" si="25"/>
        <v>4815</v>
      </c>
      <c r="M30" s="59">
        <f t="shared" si="26"/>
        <v>6730.5</v>
      </c>
      <c r="N30" s="59" t="str">
        <f t="shared" si="27"/>
        <v>нет</v>
      </c>
      <c r="O30" s="21"/>
      <c r="Q30" s="164">
        <v>1646</v>
      </c>
      <c r="R30" s="165" t="s">
        <v>34</v>
      </c>
      <c r="S30" s="165">
        <v>1573</v>
      </c>
      <c r="T30" s="165" t="s">
        <v>34</v>
      </c>
      <c r="U30" s="165">
        <v>1703</v>
      </c>
      <c r="V30" s="165" t="s">
        <v>34</v>
      </c>
      <c r="W30" s="165">
        <v>2833</v>
      </c>
      <c r="X30" s="165" t="s">
        <v>34</v>
      </c>
      <c r="Y30" s="165">
        <v>3163</v>
      </c>
      <c r="Z30" s="165" t="s">
        <v>34</v>
      </c>
      <c r="AA30" s="165"/>
      <c r="AB30" s="165">
        <v>3286</v>
      </c>
      <c r="AC30" s="165">
        <v>3546</v>
      </c>
    </row>
    <row r="31" spans="1:29" x14ac:dyDescent="0.2">
      <c r="A31" s="180">
        <f t="shared" si="28"/>
        <v>14</v>
      </c>
      <c r="B31" s="143" t="s">
        <v>369</v>
      </c>
      <c r="C31" s="141">
        <v>4</v>
      </c>
      <c r="D31">
        <f t="shared" si="17"/>
        <v>4500</v>
      </c>
      <c r="E31">
        <f t="shared" si="18"/>
        <v>4600</v>
      </c>
      <c r="F31">
        <f t="shared" si="19"/>
        <v>5500</v>
      </c>
      <c r="G31" s="151">
        <f t="shared" si="20"/>
        <v>3210</v>
      </c>
      <c r="H31">
        <f t="shared" si="21"/>
        <v>4487</v>
      </c>
      <c r="I31" s="59">
        <f t="shared" si="22"/>
        <v>8250</v>
      </c>
      <c r="J31" s="59">
        <f t="shared" si="23"/>
        <v>6750</v>
      </c>
      <c r="K31" s="59">
        <f t="shared" si="24"/>
        <v>6900</v>
      </c>
      <c r="L31" s="175">
        <f t="shared" si="25"/>
        <v>4815</v>
      </c>
      <c r="M31" s="59">
        <f t="shared" si="26"/>
        <v>6730.5</v>
      </c>
      <c r="N31" s="59" t="str">
        <f t="shared" si="27"/>
        <v>нет</v>
      </c>
      <c r="O31" s="21"/>
    </row>
    <row r="32" spans="1:29" x14ac:dyDescent="0.2">
      <c r="A32" s="180">
        <f t="shared" si="28"/>
        <v>15</v>
      </c>
      <c r="B32" s="143" t="s">
        <v>370</v>
      </c>
      <c r="C32" s="141">
        <v>4</v>
      </c>
      <c r="D32">
        <f t="shared" si="17"/>
        <v>4500</v>
      </c>
      <c r="E32">
        <f t="shared" si="18"/>
        <v>4600</v>
      </c>
      <c r="F32">
        <f t="shared" si="19"/>
        <v>5500</v>
      </c>
      <c r="G32" s="151">
        <f t="shared" si="20"/>
        <v>3210</v>
      </c>
      <c r="H32">
        <f t="shared" si="21"/>
        <v>4487</v>
      </c>
      <c r="I32" s="59">
        <f t="shared" si="22"/>
        <v>8250</v>
      </c>
      <c r="J32" s="59">
        <f t="shared" si="23"/>
        <v>6750</v>
      </c>
      <c r="K32" s="59">
        <f t="shared" si="24"/>
        <v>6900</v>
      </c>
      <c r="L32" s="175">
        <f t="shared" si="25"/>
        <v>4815</v>
      </c>
      <c r="M32" s="59">
        <f t="shared" si="26"/>
        <v>6730.5</v>
      </c>
      <c r="N32" s="59" t="str">
        <f t="shared" si="27"/>
        <v>нет</v>
      </c>
      <c r="O32" s="21"/>
      <c r="Q32" s="21">
        <f t="shared" ref="Q32:AC32" si="29">Q3-Q19</f>
        <v>1894</v>
      </c>
      <c r="R32" s="21">
        <f t="shared" si="29"/>
        <v>2841</v>
      </c>
      <c r="S32" s="21">
        <f t="shared" si="29"/>
        <v>1232</v>
      </c>
      <c r="T32" s="21">
        <f t="shared" si="29"/>
        <v>1848</v>
      </c>
      <c r="U32" s="21">
        <f t="shared" si="29"/>
        <v>1202</v>
      </c>
      <c r="V32" s="21">
        <f t="shared" si="29"/>
        <v>1803</v>
      </c>
      <c r="W32" s="21">
        <f t="shared" si="29"/>
        <v>50</v>
      </c>
      <c r="X32" s="21">
        <f t="shared" si="29"/>
        <v>75</v>
      </c>
      <c r="Y32" s="21">
        <f t="shared" si="29"/>
        <v>794</v>
      </c>
      <c r="Z32" s="21">
        <f t="shared" si="29"/>
        <v>1191</v>
      </c>
      <c r="AA32" s="21">
        <f t="shared" si="29"/>
        <v>52</v>
      </c>
      <c r="AB32" s="21">
        <f t="shared" si="29"/>
        <v>644</v>
      </c>
      <c r="AC32" s="21">
        <f t="shared" si="29"/>
        <v>584</v>
      </c>
    </row>
    <row r="33" spans="1:29" x14ac:dyDescent="0.2">
      <c r="A33" s="180">
        <f t="shared" si="28"/>
        <v>16</v>
      </c>
      <c r="B33" s="143" t="s">
        <v>371</v>
      </c>
      <c r="C33" s="141">
        <v>4</v>
      </c>
      <c r="D33">
        <f t="shared" si="17"/>
        <v>4500</v>
      </c>
      <c r="E33">
        <f t="shared" si="18"/>
        <v>4600</v>
      </c>
      <c r="F33">
        <f t="shared" si="19"/>
        <v>5500</v>
      </c>
      <c r="G33" s="151">
        <f t="shared" si="20"/>
        <v>3210</v>
      </c>
      <c r="H33">
        <f t="shared" si="21"/>
        <v>4487</v>
      </c>
      <c r="I33" s="59">
        <f t="shared" si="22"/>
        <v>8250</v>
      </c>
      <c r="J33" s="59">
        <f t="shared" si="23"/>
        <v>6750</v>
      </c>
      <c r="K33" s="59">
        <f t="shared" si="24"/>
        <v>6900</v>
      </c>
      <c r="L33" s="175">
        <f t="shared" si="25"/>
        <v>4815</v>
      </c>
      <c r="M33" s="59">
        <f t="shared" si="26"/>
        <v>6730.5</v>
      </c>
      <c r="N33" s="59" t="str">
        <f t="shared" si="27"/>
        <v>нет</v>
      </c>
      <c r="O33" s="21"/>
      <c r="Q33" s="21">
        <f t="shared" ref="Q33:AC33" si="30">Q4-Q20</f>
        <v>2364</v>
      </c>
      <c r="R33" s="21">
        <f t="shared" si="30"/>
        <v>3546</v>
      </c>
      <c r="S33" s="21">
        <f t="shared" si="30"/>
        <v>1692</v>
      </c>
      <c r="T33" s="21">
        <f t="shared" si="30"/>
        <v>2538</v>
      </c>
      <c r="U33" s="21">
        <f t="shared" si="30"/>
        <v>1672</v>
      </c>
      <c r="V33" s="21">
        <f t="shared" si="30"/>
        <v>2508</v>
      </c>
      <c r="W33" s="21">
        <f t="shared" si="30"/>
        <v>50</v>
      </c>
      <c r="X33" s="21">
        <f t="shared" si="30"/>
        <v>75</v>
      </c>
      <c r="Y33" s="21">
        <f t="shared" si="30"/>
        <v>864</v>
      </c>
      <c r="Z33" s="21">
        <f t="shared" si="30"/>
        <v>1296</v>
      </c>
      <c r="AA33" s="21">
        <f t="shared" si="30"/>
        <v>122</v>
      </c>
      <c r="AB33" s="21">
        <f t="shared" si="30"/>
        <v>984</v>
      </c>
      <c r="AC33" s="21">
        <f t="shared" si="30"/>
        <v>944</v>
      </c>
    </row>
    <row r="34" spans="1:29" x14ac:dyDescent="0.2">
      <c r="A34" s="180">
        <f t="shared" si="28"/>
        <v>17</v>
      </c>
      <c r="B34" s="143" t="s">
        <v>372</v>
      </c>
      <c r="C34" s="141">
        <v>4</v>
      </c>
      <c r="D34">
        <f t="shared" si="17"/>
        <v>4500</v>
      </c>
      <c r="E34">
        <f t="shared" si="18"/>
        <v>4600</v>
      </c>
      <c r="F34">
        <f t="shared" si="19"/>
        <v>5500</v>
      </c>
      <c r="G34" s="151">
        <f t="shared" si="20"/>
        <v>3210</v>
      </c>
      <c r="H34">
        <f t="shared" si="21"/>
        <v>4487</v>
      </c>
      <c r="I34" s="59">
        <f t="shared" si="22"/>
        <v>8250</v>
      </c>
      <c r="J34" s="59">
        <f t="shared" si="23"/>
        <v>6750</v>
      </c>
      <c r="K34" s="59">
        <f t="shared" si="24"/>
        <v>6900</v>
      </c>
      <c r="L34" s="175">
        <f t="shared" si="25"/>
        <v>4815</v>
      </c>
      <c r="M34" s="59">
        <f t="shared" si="26"/>
        <v>6730.5</v>
      </c>
      <c r="N34" s="59" t="str">
        <f t="shared" si="27"/>
        <v>нет</v>
      </c>
      <c r="O34" s="21"/>
      <c r="Q34" s="21">
        <f t="shared" ref="Q34:AC34" si="31">Q5-Q21</f>
        <v>2697</v>
      </c>
      <c r="R34" s="21">
        <f t="shared" si="31"/>
        <v>4045.5</v>
      </c>
      <c r="S34" s="21">
        <f t="shared" si="31"/>
        <v>2035</v>
      </c>
      <c r="T34" s="21">
        <f t="shared" si="31"/>
        <v>3052.5</v>
      </c>
      <c r="U34" s="21">
        <f t="shared" si="31"/>
        <v>2005</v>
      </c>
      <c r="V34" s="21">
        <f t="shared" si="31"/>
        <v>3007.5</v>
      </c>
      <c r="W34" s="21">
        <f t="shared" si="31"/>
        <v>60</v>
      </c>
      <c r="X34" s="21">
        <f t="shared" si="31"/>
        <v>90</v>
      </c>
      <c r="Y34" s="21">
        <f t="shared" si="31"/>
        <v>947</v>
      </c>
      <c r="Z34" s="21">
        <f t="shared" si="31"/>
        <v>1420.5</v>
      </c>
      <c r="AA34" s="21">
        <f t="shared" si="31"/>
        <v>60</v>
      </c>
      <c r="AB34" s="21">
        <f t="shared" si="31"/>
        <v>1070</v>
      </c>
      <c r="AC34" s="21">
        <f t="shared" si="31"/>
        <v>1010</v>
      </c>
    </row>
    <row r="35" spans="1:29" x14ac:dyDescent="0.2">
      <c r="A35" s="180">
        <f t="shared" si="28"/>
        <v>18</v>
      </c>
      <c r="B35" s="143" t="s">
        <v>119</v>
      </c>
      <c r="C35" s="141">
        <v>3</v>
      </c>
      <c r="D35">
        <f t="shared" si="17"/>
        <v>3800</v>
      </c>
      <c r="E35">
        <f t="shared" si="18"/>
        <v>3900</v>
      </c>
      <c r="F35">
        <f t="shared" si="19"/>
        <v>4570</v>
      </c>
      <c r="G35" s="151">
        <f t="shared" si="20"/>
        <v>3120</v>
      </c>
      <c r="H35">
        <f t="shared" si="21"/>
        <v>4337</v>
      </c>
      <c r="I35" s="59">
        <f t="shared" si="22"/>
        <v>6855</v>
      </c>
      <c r="J35" s="59">
        <f t="shared" si="23"/>
        <v>5700</v>
      </c>
      <c r="K35" s="59">
        <f t="shared" si="24"/>
        <v>5850</v>
      </c>
      <c r="L35" s="175">
        <f t="shared" si="25"/>
        <v>4680</v>
      </c>
      <c r="M35" s="59">
        <f t="shared" si="26"/>
        <v>6505.5</v>
      </c>
      <c r="N35" s="59" t="str">
        <f t="shared" si="27"/>
        <v>нет</v>
      </c>
      <c r="O35" s="21"/>
      <c r="Q35" s="21">
        <f t="shared" ref="Q35:AC35" si="32">Q6-Q22</f>
        <v>3547</v>
      </c>
      <c r="R35" s="21">
        <f t="shared" si="32"/>
        <v>5320.5</v>
      </c>
      <c r="S35" s="21">
        <f t="shared" si="32"/>
        <v>2655</v>
      </c>
      <c r="T35" s="21">
        <f t="shared" si="32"/>
        <v>3982.5</v>
      </c>
      <c r="U35" s="21">
        <f t="shared" si="32"/>
        <v>2625</v>
      </c>
      <c r="V35" s="21">
        <f t="shared" si="32"/>
        <v>3937.5</v>
      </c>
      <c r="W35" s="21">
        <f t="shared" si="32"/>
        <v>70</v>
      </c>
      <c r="X35" s="21">
        <f t="shared" si="32"/>
        <v>105</v>
      </c>
      <c r="Y35" s="21">
        <f t="shared" si="32"/>
        <v>1017</v>
      </c>
      <c r="Z35" s="21">
        <f t="shared" si="32"/>
        <v>1525.5</v>
      </c>
      <c r="AA35" s="21">
        <f t="shared" si="32"/>
        <v>70</v>
      </c>
      <c r="AB35" s="21">
        <f t="shared" si="32"/>
        <v>1110</v>
      </c>
      <c r="AC35" s="21">
        <f t="shared" si="32"/>
        <v>1050</v>
      </c>
    </row>
    <row r="36" spans="1:29" x14ac:dyDescent="0.2">
      <c r="A36" s="180">
        <f t="shared" si="28"/>
        <v>19</v>
      </c>
      <c r="B36" s="143" t="s">
        <v>379</v>
      </c>
      <c r="C36" s="141">
        <v>4</v>
      </c>
      <c r="D36">
        <f t="shared" si="17"/>
        <v>4500</v>
      </c>
      <c r="E36">
        <f t="shared" si="18"/>
        <v>4600</v>
      </c>
      <c r="F36">
        <f t="shared" si="19"/>
        <v>5500</v>
      </c>
      <c r="G36" s="151">
        <f t="shared" si="20"/>
        <v>3210</v>
      </c>
      <c r="H36">
        <f t="shared" si="21"/>
        <v>4487</v>
      </c>
      <c r="I36" s="59">
        <f t="shared" si="22"/>
        <v>8250</v>
      </c>
      <c r="J36" s="59">
        <f t="shared" si="23"/>
        <v>6750</v>
      </c>
      <c r="K36" s="59">
        <f t="shared" si="24"/>
        <v>6900</v>
      </c>
      <c r="L36" s="175">
        <f t="shared" si="25"/>
        <v>4815</v>
      </c>
      <c r="M36" s="59">
        <f t="shared" si="26"/>
        <v>6730.5</v>
      </c>
      <c r="N36" s="59" t="str">
        <f t="shared" si="27"/>
        <v>нет</v>
      </c>
      <c r="O36" s="21"/>
      <c r="Q36" s="21">
        <f t="shared" ref="Q36:AC36" si="33">Q7-Q23</f>
        <v>4964</v>
      </c>
      <c r="R36" s="21">
        <f t="shared" si="33"/>
        <v>3946</v>
      </c>
      <c r="S36" s="21">
        <f t="shared" si="33"/>
        <v>5052</v>
      </c>
      <c r="T36" s="21">
        <f t="shared" si="33"/>
        <v>4078</v>
      </c>
      <c r="U36" s="21">
        <f t="shared" si="33"/>
        <v>4942</v>
      </c>
      <c r="V36" s="21">
        <f t="shared" si="33"/>
        <v>3913</v>
      </c>
      <c r="W36" s="21">
        <f t="shared" si="33"/>
        <v>3777</v>
      </c>
      <c r="X36" s="21">
        <f t="shared" si="33"/>
        <v>2165.5</v>
      </c>
      <c r="Y36" s="21">
        <f t="shared" si="33"/>
        <v>3447</v>
      </c>
      <c r="Z36" s="21">
        <f t="shared" si="33"/>
        <v>1670.5</v>
      </c>
      <c r="AA36" s="21">
        <f t="shared" si="33"/>
        <v>70</v>
      </c>
      <c r="AB36" s="21">
        <f t="shared" si="33"/>
        <v>1304</v>
      </c>
      <c r="AC36" s="21">
        <f t="shared" si="33"/>
        <v>1284</v>
      </c>
    </row>
    <row r="37" spans="1:29" x14ac:dyDescent="0.2">
      <c r="A37" s="180">
        <f t="shared" si="28"/>
        <v>20</v>
      </c>
      <c r="B37" s="143" t="s">
        <v>388</v>
      </c>
      <c r="C37" s="141">
        <v>4</v>
      </c>
      <c r="D37">
        <f t="shared" si="17"/>
        <v>4500</v>
      </c>
      <c r="E37">
        <f t="shared" si="18"/>
        <v>4600</v>
      </c>
      <c r="F37">
        <f t="shared" si="19"/>
        <v>5500</v>
      </c>
      <c r="G37" s="151">
        <f t="shared" si="20"/>
        <v>3210</v>
      </c>
      <c r="H37">
        <f t="shared" si="21"/>
        <v>4487</v>
      </c>
      <c r="I37" s="59">
        <f t="shared" si="22"/>
        <v>8250</v>
      </c>
      <c r="J37" s="59">
        <f t="shared" si="23"/>
        <v>6750</v>
      </c>
      <c r="K37" s="59">
        <f t="shared" si="24"/>
        <v>6900</v>
      </c>
      <c r="L37" s="175">
        <f t="shared" si="25"/>
        <v>4815</v>
      </c>
      <c r="M37" s="59">
        <f t="shared" si="26"/>
        <v>6730.5</v>
      </c>
      <c r="N37" s="59" t="str">
        <f t="shared" si="27"/>
        <v>нет</v>
      </c>
      <c r="O37" s="21"/>
      <c r="Q37" s="21">
        <f t="shared" ref="Q37:AC37" si="34">Q8-Q24</f>
        <v>4897</v>
      </c>
      <c r="R37" s="21">
        <f t="shared" si="34"/>
        <v>3845.5</v>
      </c>
      <c r="S37" s="21">
        <f t="shared" si="34"/>
        <v>4985</v>
      </c>
      <c r="T37" s="21">
        <f t="shared" si="34"/>
        <v>3977.5</v>
      </c>
      <c r="U37" s="21">
        <f t="shared" si="34"/>
        <v>4875</v>
      </c>
      <c r="V37" s="21">
        <f t="shared" si="34"/>
        <v>3812.5</v>
      </c>
      <c r="W37" s="21">
        <f t="shared" si="34"/>
        <v>3710</v>
      </c>
      <c r="X37" s="21">
        <f t="shared" si="34"/>
        <v>2065</v>
      </c>
      <c r="Y37" s="21">
        <f t="shared" si="34"/>
        <v>3380</v>
      </c>
      <c r="Z37" s="21">
        <f t="shared" si="34"/>
        <v>1570</v>
      </c>
      <c r="AA37" s="21">
        <f t="shared" si="34"/>
        <v>70</v>
      </c>
      <c r="AB37" s="21">
        <f t="shared" si="34"/>
        <v>1470</v>
      </c>
      <c r="AC37" s="21">
        <f t="shared" si="34"/>
        <v>1450</v>
      </c>
    </row>
    <row r="38" spans="1:29" x14ac:dyDescent="0.2">
      <c r="A38" s="180">
        <f t="shared" si="28"/>
        <v>21</v>
      </c>
      <c r="B38" s="143" t="s">
        <v>405</v>
      </c>
      <c r="C38" s="141">
        <v>4</v>
      </c>
      <c r="D38">
        <f t="shared" si="17"/>
        <v>4500</v>
      </c>
      <c r="E38">
        <f t="shared" si="18"/>
        <v>4600</v>
      </c>
      <c r="F38">
        <f t="shared" si="19"/>
        <v>5500</v>
      </c>
      <c r="G38" s="151">
        <f t="shared" si="20"/>
        <v>3210</v>
      </c>
      <c r="H38">
        <f t="shared" si="21"/>
        <v>4487</v>
      </c>
      <c r="I38" s="59">
        <f t="shared" si="22"/>
        <v>8250</v>
      </c>
      <c r="J38" s="59">
        <f t="shared" si="23"/>
        <v>6750</v>
      </c>
      <c r="K38" s="59">
        <f t="shared" si="24"/>
        <v>6900</v>
      </c>
      <c r="L38" s="175">
        <f t="shared" si="25"/>
        <v>4815</v>
      </c>
      <c r="M38" s="59">
        <f t="shared" si="26"/>
        <v>6730.5</v>
      </c>
      <c r="N38" s="59" t="str">
        <f t="shared" si="27"/>
        <v>нет</v>
      </c>
      <c r="O38" s="21"/>
      <c r="Q38" s="21">
        <f t="shared" ref="Q38:AC38" si="35">Q9-Q25</f>
        <v>4824</v>
      </c>
      <c r="R38" s="21">
        <f t="shared" si="35"/>
        <v>3736</v>
      </c>
      <c r="S38" s="21">
        <f t="shared" si="35"/>
        <v>4892</v>
      </c>
      <c r="T38" s="21">
        <f t="shared" si="35"/>
        <v>3838</v>
      </c>
      <c r="U38" s="21">
        <f t="shared" si="35"/>
        <v>4802</v>
      </c>
      <c r="V38" s="21">
        <f t="shared" si="35"/>
        <v>3703</v>
      </c>
      <c r="W38" s="21">
        <f t="shared" si="35"/>
        <v>3637</v>
      </c>
      <c r="X38" s="21">
        <f t="shared" si="35"/>
        <v>1955.5</v>
      </c>
      <c r="Y38" s="21">
        <f t="shared" si="35"/>
        <v>3307</v>
      </c>
      <c r="Z38" s="21">
        <f t="shared" si="35"/>
        <v>1460.5</v>
      </c>
      <c r="AA38" s="21">
        <f t="shared" si="35"/>
        <v>70</v>
      </c>
      <c r="AB38" s="21">
        <f t="shared" si="35"/>
        <v>1584</v>
      </c>
      <c r="AC38" s="21">
        <f t="shared" si="35"/>
        <v>1604</v>
      </c>
    </row>
    <row r="39" spans="1:29" x14ac:dyDescent="0.2">
      <c r="A39" s="180">
        <f t="shared" si="28"/>
        <v>22</v>
      </c>
      <c r="B39" s="143" t="s">
        <v>7</v>
      </c>
      <c r="C39" s="141">
        <v>4</v>
      </c>
      <c r="D39">
        <f t="shared" si="17"/>
        <v>4500</v>
      </c>
      <c r="E39">
        <f t="shared" si="18"/>
        <v>4600</v>
      </c>
      <c r="F39">
        <f t="shared" si="19"/>
        <v>5500</v>
      </c>
      <c r="G39" s="151">
        <f t="shared" si="20"/>
        <v>3210</v>
      </c>
      <c r="H39">
        <f t="shared" si="21"/>
        <v>4487</v>
      </c>
      <c r="I39" s="59">
        <f t="shared" si="22"/>
        <v>8250</v>
      </c>
      <c r="J39" s="59">
        <f t="shared" si="23"/>
        <v>6750</v>
      </c>
      <c r="K39" s="59">
        <f t="shared" si="24"/>
        <v>6900</v>
      </c>
      <c r="L39" s="175">
        <f t="shared" si="25"/>
        <v>4815</v>
      </c>
      <c r="M39" s="59">
        <f t="shared" si="26"/>
        <v>6730.5</v>
      </c>
      <c r="N39" s="59" t="str">
        <f t="shared" si="27"/>
        <v>нет</v>
      </c>
      <c r="O39" s="21"/>
      <c r="Q39" s="21">
        <f t="shared" ref="Q39:AC39" si="36">Q10-Q26</f>
        <v>4652</v>
      </c>
      <c r="R39" s="21">
        <f t="shared" si="36"/>
        <v>3478</v>
      </c>
      <c r="S39" s="21">
        <f t="shared" si="36"/>
        <v>4740</v>
      </c>
      <c r="T39" s="21">
        <f t="shared" si="36"/>
        <v>3610</v>
      </c>
      <c r="U39" s="21">
        <f t="shared" si="36"/>
        <v>4630</v>
      </c>
      <c r="V39" s="21">
        <f t="shared" si="36"/>
        <v>3445</v>
      </c>
      <c r="W39" s="21">
        <f t="shared" si="36"/>
        <v>3465</v>
      </c>
      <c r="X39" s="21">
        <f t="shared" si="36"/>
        <v>1697.5</v>
      </c>
      <c r="Y39" s="21">
        <f t="shared" si="36"/>
        <v>3135</v>
      </c>
      <c r="Z39" s="21">
        <f t="shared" si="36"/>
        <v>1202.5</v>
      </c>
      <c r="AA39" s="21">
        <f t="shared" si="36"/>
        <v>70</v>
      </c>
      <c r="AB39" s="21">
        <f t="shared" si="36"/>
        <v>4380</v>
      </c>
      <c r="AC39" s="21">
        <f t="shared" si="36"/>
        <v>4160</v>
      </c>
    </row>
    <row r="40" spans="1:29" x14ac:dyDescent="0.2">
      <c r="A40" s="180">
        <f t="shared" si="28"/>
        <v>23</v>
      </c>
      <c r="B40" s="143" t="s">
        <v>406</v>
      </c>
      <c r="C40" s="141">
        <v>4</v>
      </c>
      <c r="D40">
        <f t="shared" si="17"/>
        <v>4500</v>
      </c>
      <c r="E40">
        <f t="shared" si="18"/>
        <v>4600</v>
      </c>
      <c r="F40">
        <f t="shared" si="19"/>
        <v>5500</v>
      </c>
      <c r="G40" s="151">
        <f t="shared" si="20"/>
        <v>3210</v>
      </c>
      <c r="H40">
        <f t="shared" si="21"/>
        <v>4487</v>
      </c>
      <c r="I40" s="59">
        <f t="shared" si="22"/>
        <v>8250</v>
      </c>
      <c r="J40" s="59">
        <f t="shared" si="23"/>
        <v>6750</v>
      </c>
      <c r="K40" s="59">
        <f t="shared" si="24"/>
        <v>6900</v>
      </c>
      <c r="L40" s="175">
        <f t="shared" si="25"/>
        <v>4815</v>
      </c>
      <c r="M40" s="59">
        <f t="shared" si="26"/>
        <v>6730.5</v>
      </c>
      <c r="N40" s="59" t="str">
        <f t="shared" si="27"/>
        <v>нет</v>
      </c>
      <c r="O40" s="21"/>
      <c r="Q40" s="21">
        <f t="shared" ref="Q40:AC40" si="37">Q11-Q27</f>
        <v>4547</v>
      </c>
      <c r="R40" s="21">
        <f t="shared" si="37"/>
        <v>3320.5</v>
      </c>
      <c r="S40" s="21">
        <f t="shared" si="37"/>
        <v>4625</v>
      </c>
      <c r="T40" s="21">
        <f t="shared" si="37"/>
        <v>3437.5</v>
      </c>
      <c r="U40" s="21">
        <f t="shared" si="37"/>
        <v>4525</v>
      </c>
      <c r="V40" s="21">
        <f t="shared" si="37"/>
        <v>3287.5</v>
      </c>
      <c r="W40" s="21">
        <f t="shared" si="37"/>
        <v>3360</v>
      </c>
      <c r="X40" s="21">
        <f t="shared" si="37"/>
        <v>1540</v>
      </c>
      <c r="Y40" s="21">
        <f t="shared" si="37"/>
        <v>3030</v>
      </c>
      <c r="Z40" s="21">
        <f t="shared" si="37"/>
        <v>1045</v>
      </c>
      <c r="AA40" s="21">
        <f t="shared" si="37"/>
        <v>70</v>
      </c>
      <c r="AB40" s="21">
        <f t="shared" si="37"/>
        <v>4150</v>
      </c>
      <c r="AC40" s="21">
        <f t="shared" si="37"/>
        <v>3950</v>
      </c>
    </row>
    <row r="41" spans="1:29" x14ac:dyDescent="0.2">
      <c r="A41" s="180">
        <f t="shared" si="28"/>
        <v>24</v>
      </c>
      <c r="B41" s="143" t="s">
        <v>407</v>
      </c>
      <c r="C41" s="141">
        <v>4</v>
      </c>
      <c r="D41">
        <f t="shared" si="17"/>
        <v>4500</v>
      </c>
      <c r="E41">
        <f t="shared" si="18"/>
        <v>4600</v>
      </c>
      <c r="F41">
        <f t="shared" si="19"/>
        <v>5500</v>
      </c>
      <c r="G41" s="151">
        <f t="shared" si="20"/>
        <v>3210</v>
      </c>
      <c r="H41">
        <f t="shared" si="21"/>
        <v>4487</v>
      </c>
      <c r="I41" s="59">
        <f t="shared" si="22"/>
        <v>8250</v>
      </c>
      <c r="J41" s="59">
        <f t="shared" si="23"/>
        <v>6750</v>
      </c>
      <c r="K41" s="59">
        <f t="shared" si="24"/>
        <v>6900</v>
      </c>
      <c r="L41" s="175">
        <f t="shared" si="25"/>
        <v>4815</v>
      </c>
      <c r="M41" s="59">
        <f t="shared" si="26"/>
        <v>6730.5</v>
      </c>
      <c r="N41" s="59" t="str">
        <f t="shared" si="27"/>
        <v>нет</v>
      </c>
      <c r="O41" s="21"/>
      <c r="Q41" s="21">
        <f t="shared" ref="Q41:AC41" si="38">Q12-Q28</f>
        <v>4502</v>
      </c>
      <c r="R41" s="21">
        <f t="shared" si="38"/>
        <v>3253</v>
      </c>
      <c r="S41" s="21">
        <f t="shared" si="38"/>
        <v>4585</v>
      </c>
      <c r="T41" s="21">
        <f t="shared" si="38"/>
        <v>3377.5</v>
      </c>
      <c r="U41" s="21">
        <f t="shared" si="38"/>
        <v>4480</v>
      </c>
      <c r="V41" s="21">
        <f t="shared" si="38"/>
        <v>3220</v>
      </c>
      <c r="W41" s="21">
        <f t="shared" si="38"/>
        <v>3315</v>
      </c>
      <c r="X41" s="21">
        <f t="shared" si="38"/>
        <v>1472.5</v>
      </c>
      <c r="Y41" s="21">
        <f t="shared" si="38"/>
        <v>2985</v>
      </c>
      <c r="Z41" s="21">
        <f t="shared" si="38"/>
        <v>977.5</v>
      </c>
      <c r="AA41" s="21">
        <f t="shared" si="38"/>
        <v>70</v>
      </c>
      <c r="AB41" s="21">
        <f t="shared" si="38"/>
        <v>4070</v>
      </c>
      <c r="AC41" s="21">
        <f t="shared" si="38"/>
        <v>3860</v>
      </c>
    </row>
    <row r="42" spans="1:29" x14ac:dyDescent="0.2">
      <c r="A42" s="180">
        <f t="shared" si="28"/>
        <v>25</v>
      </c>
      <c r="B42" s="143" t="s">
        <v>410</v>
      </c>
      <c r="C42" s="141">
        <v>4</v>
      </c>
      <c r="D42">
        <f t="shared" si="17"/>
        <v>4500</v>
      </c>
      <c r="E42">
        <f t="shared" si="18"/>
        <v>4600</v>
      </c>
      <c r="F42">
        <f t="shared" si="19"/>
        <v>5500</v>
      </c>
      <c r="G42" s="151">
        <f t="shared" si="20"/>
        <v>3210</v>
      </c>
      <c r="H42">
        <f t="shared" si="21"/>
        <v>4487</v>
      </c>
      <c r="I42" s="59">
        <f t="shared" si="22"/>
        <v>8250</v>
      </c>
      <c r="J42" s="59">
        <f t="shared" si="23"/>
        <v>6750</v>
      </c>
      <c r="K42" s="59">
        <f t="shared" si="24"/>
        <v>6900</v>
      </c>
      <c r="L42" s="175">
        <f t="shared" si="25"/>
        <v>4815</v>
      </c>
      <c r="M42" s="59">
        <f t="shared" si="26"/>
        <v>6730.5</v>
      </c>
      <c r="N42" s="59" t="str">
        <f t="shared" si="27"/>
        <v>нет</v>
      </c>
      <c r="O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</row>
    <row r="43" spans="1:29" x14ac:dyDescent="0.2">
      <c r="A43" s="180">
        <f t="shared" si="28"/>
        <v>26</v>
      </c>
      <c r="B43" s="143" t="s">
        <v>408</v>
      </c>
      <c r="C43" s="141">
        <v>4</v>
      </c>
      <c r="D43">
        <f t="shared" si="17"/>
        <v>4500</v>
      </c>
      <c r="E43">
        <f t="shared" si="18"/>
        <v>4600</v>
      </c>
      <c r="F43">
        <f t="shared" si="19"/>
        <v>5500</v>
      </c>
      <c r="G43" s="151">
        <f t="shared" si="20"/>
        <v>3210</v>
      </c>
      <c r="H43">
        <f t="shared" si="21"/>
        <v>4487</v>
      </c>
      <c r="I43" s="59">
        <f t="shared" si="22"/>
        <v>8250</v>
      </c>
      <c r="J43" s="59">
        <f t="shared" si="23"/>
        <v>6750</v>
      </c>
      <c r="K43" s="59">
        <f t="shared" si="24"/>
        <v>6900</v>
      </c>
      <c r="L43" s="175">
        <f t="shared" si="25"/>
        <v>4815</v>
      </c>
      <c r="M43" s="59">
        <f t="shared" si="26"/>
        <v>6730.5</v>
      </c>
      <c r="N43" s="59" t="str">
        <f t="shared" si="27"/>
        <v>нет</v>
      </c>
      <c r="O43" s="21"/>
      <c r="Q43" s="21">
        <f>Q14-Q30</f>
        <v>1844</v>
      </c>
      <c r="R43" s="21"/>
      <c r="S43" s="21">
        <f>S14-S30</f>
        <v>227</v>
      </c>
      <c r="T43" s="21"/>
      <c r="U43" s="21">
        <f>U14-U30</f>
        <v>197</v>
      </c>
      <c r="V43" s="21"/>
      <c r="W43" s="21">
        <f>W14-W30</f>
        <v>0</v>
      </c>
      <c r="X43" s="21"/>
      <c r="Y43" s="21">
        <f>Y14-Y30</f>
        <v>744</v>
      </c>
      <c r="Z43" s="21"/>
      <c r="AA43" s="21">
        <f>AA14-AA30</f>
        <v>0</v>
      </c>
      <c r="AB43" s="21">
        <f>AB14-AB30</f>
        <v>214</v>
      </c>
      <c r="AC43" s="21">
        <f>AC14-AC30</f>
        <v>154</v>
      </c>
    </row>
    <row r="44" spans="1:29" x14ac:dyDescent="0.2">
      <c r="A44" s="180">
        <f t="shared" si="28"/>
        <v>27</v>
      </c>
      <c r="B44" s="143" t="s">
        <v>8</v>
      </c>
      <c r="C44" s="141">
        <v>4</v>
      </c>
      <c r="D44">
        <f t="shared" ref="D44:D65" si="39">VLOOKUP($C44,$C$3:$N$14,2,0)</f>
        <v>4500</v>
      </c>
      <c r="E44">
        <f t="shared" ref="E44:E65" si="40">VLOOKUP($C44,$C$3:$N$14,3,0)</f>
        <v>4600</v>
      </c>
      <c r="F44">
        <f t="shared" ref="F44:F65" si="41">VLOOKUP($C44,$C$3:$N$14,4,0)</f>
        <v>5500</v>
      </c>
      <c r="G44" s="151">
        <f t="shared" ref="G44:G65" si="42">VLOOKUP($C44,$C$3:$N$14,5,0)</f>
        <v>3210</v>
      </c>
      <c r="H44">
        <f t="shared" ref="H44:H65" si="43">VLOOKUP($C44,$C$3:$N$14,6,0)</f>
        <v>4487</v>
      </c>
      <c r="I44" s="59">
        <f t="shared" ref="I44:I65" si="44">VLOOKUP($C44,$C$3:$N$14,7,0)</f>
        <v>8250</v>
      </c>
      <c r="J44" s="59">
        <f t="shared" ref="J44:J65" si="45">VLOOKUP($C44,$C$3:$N$14,8,0)</f>
        <v>6750</v>
      </c>
      <c r="K44" s="59">
        <f t="shared" ref="K44:K65" si="46">VLOOKUP($C44,$C$3:$N$14,9,0)</f>
        <v>6900</v>
      </c>
      <c r="L44" s="175">
        <f t="shared" ref="L44:L65" si="47">VLOOKUP($C44,$C$3:$N$14,10,0)</f>
        <v>4815</v>
      </c>
      <c r="M44" s="59">
        <f t="shared" ref="M44:M65" si="48">VLOOKUP($C44,$C$3:$N$14,11,0)</f>
        <v>6730.5</v>
      </c>
      <c r="N44" s="59" t="str">
        <f t="shared" ref="N44:N65" si="49">VLOOKUP($C44,$C$3:$N$14,12,0)</f>
        <v>нет</v>
      </c>
      <c r="O44" s="21"/>
      <c r="P44" s="61"/>
      <c r="Q44" s="61"/>
      <c r="AA44" s="61"/>
      <c r="AB44" s="61"/>
      <c r="AC44" s="61"/>
    </row>
    <row r="45" spans="1:29" x14ac:dyDescent="0.2">
      <c r="A45" s="180">
        <f t="shared" si="28"/>
        <v>28</v>
      </c>
      <c r="B45" s="143" t="s">
        <v>411</v>
      </c>
      <c r="C45" s="141">
        <v>4</v>
      </c>
      <c r="D45">
        <f t="shared" si="39"/>
        <v>4500</v>
      </c>
      <c r="E45">
        <f t="shared" si="40"/>
        <v>4600</v>
      </c>
      <c r="F45">
        <f t="shared" si="41"/>
        <v>5500</v>
      </c>
      <c r="G45" s="151">
        <f t="shared" si="42"/>
        <v>3210</v>
      </c>
      <c r="H45">
        <f t="shared" si="43"/>
        <v>4487</v>
      </c>
      <c r="I45" s="59">
        <f t="shared" si="44"/>
        <v>8250</v>
      </c>
      <c r="J45" s="59">
        <f t="shared" si="45"/>
        <v>6750</v>
      </c>
      <c r="K45" s="59">
        <f t="shared" si="46"/>
        <v>6900</v>
      </c>
      <c r="L45" s="175">
        <f t="shared" si="47"/>
        <v>4815</v>
      </c>
      <c r="M45" s="59">
        <f t="shared" si="48"/>
        <v>6730.5</v>
      </c>
      <c r="N45" s="59" t="str">
        <f t="shared" si="49"/>
        <v>нет</v>
      </c>
      <c r="O45" s="21"/>
      <c r="P45" s="61"/>
      <c r="Q45" s="61"/>
      <c r="AA45" s="61"/>
      <c r="AB45" s="61"/>
      <c r="AC45" s="61"/>
    </row>
    <row r="46" spans="1:29" x14ac:dyDescent="0.2">
      <c r="A46" s="180">
        <f t="shared" si="28"/>
        <v>29</v>
      </c>
      <c r="B46" s="143" t="s">
        <v>476</v>
      </c>
      <c r="C46" s="141">
        <v>3</v>
      </c>
      <c r="D46">
        <f t="shared" si="39"/>
        <v>3800</v>
      </c>
      <c r="E46">
        <f t="shared" si="40"/>
        <v>3900</v>
      </c>
      <c r="F46">
        <f t="shared" si="41"/>
        <v>4570</v>
      </c>
      <c r="G46" s="151">
        <f t="shared" si="42"/>
        <v>3120</v>
      </c>
      <c r="H46">
        <f t="shared" si="43"/>
        <v>4337</v>
      </c>
      <c r="I46" s="59">
        <f t="shared" si="44"/>
        <v>6855</v>
      </c>
      <c r="J46" s="59">
        <f t="shared" si="45"/>
        <v>5700</v>
      </c>
      <c r="K46" s="59">
        <f t="shared" si="46"/>
        <v>5850</v>
      </c>
      <c r="L46" s="175">
        <f t="shared" si="47"/>
        <v>4680</v>
      </c>
      <c r="M46" s="59">
        <f t="shared" si="48"/>
        <v>6505.5</v>
      </c>
      <c r="N46" s="59" t="str">
        <f t="shared" si="49"/>
        <v>нет</v>
      </c>
      <c r="O46" s="21"/>
      <c r="P46" s="61"/>
      <c r="Q46" s="61"/>
      <c r="AA46" s="61"/>
      <c r="AB46" s="61"/>
      <c r="AC46" s="61"/>
    </row>
    <row r="47" spans="1:29" x14ac:dyDescent="0.2">
      <c r="A47">
        <f t="shared" si="28"/>
        <v>30</v>
      </c>
      <c r="B47" s="143" t="s">
        <v>6</v>
      </c>
      <c r="C47" s="141">
        <v>4</v>
      </c>
      <c r="D47">
        <f t="shared" si="39"/>
        <v>4500</v>
      </c>
      <c r="E47">
        <f t="shared" si="40"/>
        <v>4600</v>
      </c>
      <c r="F47">
        <f t="shared" si="41"/>
        <v>5500</v>
      </c>
      <c r="G47" s="151">
        <f t="shared" si="42"/>
        <v>3210</v>
      </c>
      <c r="H47">
        <f t="shared" si="43"/>
        <v>4487</v>
      </c>
      <c r="I47" s="59">
        <f t="shared" si="44"/>
        <v>8250</v>
      </c>
      <c r="J47" s="59">
        <f t="shared" si="45"/>
        <v>6750</v>
      </c>
      <c r="K47" s="59">
        <f t="shared" si="46"/>
        <v>6900</v>
      </c>
      <c r="L47" s="175">
        <f t="shared" si="47"/>
        <v>4815</v>
      </c>
      <c r="M47" s="59">
        <f t="shared" si="48"/>
        <v>6730.5</v>
      </c>
      <c r="N47" s="59" t="str">
        <f t="shared" si="49"/>
        <v>нет</v>
      </c>
      <c r="O47" s="21"/>
      <c r="P47" s="61"/>
      <c r="Q47" s="61"/>
      <c r="AA47" s="61"/>
      <c r="AB47" s="61"/>
      <c r="AC47" s="61"/>
    </row>
    <row r="48" spans="1:29" x14ac:dyDescent="0.2">
      <c r="A48">
        <f t="shared" si="28"/>
        <v>31</v>
      </c>
      <c r="B48" s="143" t="s">
        <v>380</v>
      </c>
      <c r="C48" s="141">
        <v>4</v>
      </c>
      <c r="D48">
        <f t="shared" si="39"/>
        <v>4500</v>
      </c>
      <c r="E48">
        <f t="shared" si="40"/>
        <v>4600</v>
      </c>
      <c r="F48">
        <f t="shared" si="41"/>
        <v>5500</v>
      </c>
      <c r="G48" s="151">
        <f t="shared" si="42"/>
        <v>3210</v>
      </c>
      <c r="H48">
        <f t="shared" si="43"/>
        <v>4487</v>
      </c>
      <c r="I48" s="59">
        <f t="shared" si="44"/>
        <v>8250</v>
      </c>
      <c r="J48" s="59">
        <f t="shared" si="45"/>
        <v>6750</v>
      </c>
      <c r="K48" s="59">
        <f t="shared" si="46"/>
        <v>6900</v>
      </c>
      <c r="L48" s="175">
        <f t="shared" si="47"/>
        <v>4815</v>
      </c>
      <c r="M48" s="59">
        <f t="shared" si="48"/>
        <v>6730.5</v>
      </c>
      <c r="N48" s="59" t="str">
        <f t="shared" si="49"/>
        <v>нет</v>
      </c>
      <c r="O48" s="21"/>
      <c r="P48" s="61"/>
      <c r="Q48" s="61"/>
      <c r="AA48" s="61"/>
      <c r="AB48" s="61"/>
      <c r="AC48" s="61"/>
    </row>
    <row r="49" spans="1:29" x14ac:dyDescent="0.2">
      <c r="A49">
        <f t="shared" si="28"/>
        <v>32</v>
      </c>
      <c r="B49" s="143" t="s">
        <v>120</v>
      </c>
      <c r="C49" s="141">
        <v>4</v>
      </c>
      <c r="D49">
        <f t="shared" si="39"/>
        <v>4500</v>
      </c>
      <c r="E49">
        <f t="shared" si="40"/>
        <v>4600</v>
      </c>
      <c r="F49">
        <f t="shared" si="41"/>
        <v>5500</v>
      </c>
      <c r="G49" s="151">
        <f t="shared" si="42"/>
        <v>3210</v>
      </c>
      <c r="H49">
        <f t="shared" si="43"/>
        <v>4487</v>
      </c>
      <c r="I49" s="59">
        <f t="shared" si="44"/>
        <v>8250</v>
      </c>
      <c r="J49" s="59">
        <f t="shared" si="45"/>
        <v>6750</v>
      </c>
      <c r="K49" s="59">
        <f t="shared" si="46"/>
        <v>6900</v>
      </c>
      <c r="L49" s="175">
        <f t="shared" si="47"/>
        <v>4815</v>
      </c>
      <c r="M49" s="59">
        <f t="shared" si="48"/>
        <v>6730.5</v>
      </c>
      <c r="N49" s="59" t="str">
        <f t="shared" si="49"/>
        <v>нет</v>
      </c>
      <c r="O49" s="21"/>
      <c r="P49" s="61"/>
      <c r="Q49" s="61"/>
      <c r="AA49" s="61"/>
      <c r="AB49" s="61"/>
      <c r="AC49" s="61"/>
    </row>
    <row r="50" spans="1:29" x14ac:dyDescent="0.2">
      <c r="A50">
        <f t="shared" si="28"/>
        <v>33</v>
      </c>
      <c r="B50" s="143" t="s">
        <v>9</v>
      </c>
      <c r="C50" s="141">
        <v>4</v>
      </c>
      <c r="D50">
        <f t="shared" si="39"/>
        <v>4500</v>
      </c>
      <c r="E50">
        <f t="shared" si="40"/>
        <v>4600</v>
      </c>
      <c r="F50">
        <f t="shared" si="41"/>
        <v>5500</v>
      </c>
      <c r="G50" s="151">
        <f t="shared" si="42"/>
        <v>3210</v>
      </c>
      <c r="H50">
        <f t="shared" si="43"/>
        <v>4487</v>
      </c>
      <c r="I50" s="59">
        <f t="shared" si="44"/>
        <v>8250</v>
      </c>
      <c r="J50" s="59">
        <f t="shared" si="45"/>
        <v>6750</v>
      </c>
      <c r="K50" s="59">
        <f t="shared" si="46"/>
        <v>6900</v>
      </c>
      <c r="L50" s="175">
        <f t="shared" si="47"/>
        <v>4815</v>
      </c>
      <c r="M50" s="59">
        <f t="shared" si="48"/>
        <v>6730.5</v>
      </c>
      <c r="N50" s="59" t="str">
        <f t="shared" si="49"/>
        <v>нет</v>
      </c>
      <c r="O50" s="21"/>
      <c r="P50" s="61"/>
      <c r="Q50" s="61"/>
      <c r="AA50" s="61"/>
      <c r="AB50" s="61"/>
      <c r="AC50" s="61"/>
    </row>
    <row r="51" spans="1:29" x14ac:dyDescent="0.2">
      <c r="A51">
        <f t="shared" si="28"/>
        <v>34</v>
      </c>
      <c r="B51" s="143" t="s">
        <v>412</v>
      </c>
      <c r="C51" s="141">
        <v>4</v>
      </c>
      <c r="D51">
        <f t="shared" si="39"/>
        <v>4500</v>
      </c>
      <c r="E51">
        <f t="shared" si="40"/>
        <v>4600</v>
      </c>
      <c r="F51">
        <f t="shared" si="41"/>
        <v>5500</v>
      </c>
      <c r="G51" s="151">
        <f t="shared" si="42"/>
        <v>3210</v>
      </c>
      <c r="H51">
        <f t="shared" si="43"/>
        <v>4487</v>
      </c>
      <c r="I51" s="59">
        <f t="shared" si="44"/>
        <v>8250</v>
      </c>
      <c r="J51" s="59">
        <f t="shared" si="45"/>
        <v>6750</v>
      </c>
      <c r="K51" s="59">
        <f t="shared" si="46"/>
        <v>6900</v>
      </c>
      <c r="L51" s="175">
        <f t="shared" si="47"/>
        <v>4815</v>
      </c>
      <c r="M51" s="59">
        <f t="shared" si="48"/>
        <v>6730.5</v>
      </c>
      <c r="N51" s="59" t="str">
        <f t="shared" si="49"/>
        <v>нет</v>
      </c>
      <c r="O51" s="21"/>
      <c r="P51" s="61"/>
      <c r="Q51" s="61"/>
      <c r="AA51" s="61"/>
      <c r="AB51" s="61"/>
      <c r="AC51" s="61"/>
    </row>
    <row r="52" spans="1:29" x14ac:dyDescent="0.2">
      <c r="A52">
        <f t="shared" si="28"/>
        <v>35</v>
      </c>
      <c r="B52" s="143" t="s">
        <v>389</v>
      </c>
      <c r="C52" s="141">
        <v>4</v>
      </c>
      <c r="D52">
        <f t="shared" si="39"/>
        <v>4500</v>
      </c>
      <c r="E52">
        <f t="shared" si="40"/>
        <v>4600</v>
      </c>
      <c r="F52">
        <f t="shared" si="41"/>
        <v>5500</v>
      </c>
      <c r="G52" s="151">
        <f t="shared" si="42"/>
        <v>3210</v>
      </c>
      <c r="H52">
        <f t="shared" si="43"/>
        <v>4487</v>
      </c>
      <c r="I52" s="59">
        <f t="shared" si="44"/>
        <v>8250</v>
      </c>
      <c r="J52" s="59">
        <f t="shared" si="45"/>
        <v>6750</v>
      </c>
      <c r="K52" s="59">
        <f t="shared" si="46"/>
        <v>6900</v>
      </c>
      <c r="L52" s="175">
        <f t="shared" si="47"/>
        <v>4815</v>
      </c>
      <c r="M52" s="59">
        <f t="shared" si="48"/>
        <v>6730.5</v>
      </c>
      <c r="N52" s="59" t="str">
        <f t="shared" si="49"/>
        <v>нет</v>
      </c>
      <c r="O52" s="21"/>
      <c r="P52" s="61"/>
      <c r="Q52" s="61"/>
      <c r="AA52" s="61"/>
      <c r="AB52" s="61"/>
      <c r="AC52" s="61"/>
    </row>
    <row r="53" spans="1:29" x14ac:dyDescent="0.2">
      <c r="A53">
        <f t="shared" si="28"/>
        <v>36</v>
      </c>
      <c r="B53" s="143" t="s">
        <v>415</v>
      </c>
      <c r="C53" s="141">
        <v>4</v>
      </c>
      <c r="D53">
        <f t="shared" si="39"/>
        <v>4500</v>
      </c>
      <c r="E53">
        <f t="shared" si="40"/>
        <v>4600</v>
      </c>
      <c r="F53">
        <f t="shared" si="41"/>
        <v>5500</v>
      </c>
      <c r="G53" s="151">
        <f t="shared" si="42"/>
        <v>3210</v>
      </c>
      <c r="H53">
        <f t="shared" si="43"/>
        <v>4487</v>
      </c>
      <c r="I53" s="59">
        <f t="shared" si="44"/>
        <v>8250</v>
      </c>
      <c r="J53" s="59">
        <f t="shared" si="45"/>
        <v>6750</v>
      </c>
      <c r="K53" s="59">
        <f t="shared" si="46"/>
        <v>6900</v>
      </c>
      <c r="L53" s="175">
        <f t="shared" si="47"/>
        <v>4815</v>
      </c>
      <c r="M53" s="59">
        <f t="shared" si="48"/>
        <v>6730.5</v>
      </c>
      <c r="N53" s="59" t="str">
        <f t="shared" si="49"/>
        <v>нет</v>
      </c>
      <c r="O53" s="21"/>
      <c r="P53" s="61"/>
      <c r="Q53" s="61"/>
      <c r="AA53" s="61"/>
      <c r="AB53" s="61"/>
      <c r="AC53" s="61"/>
    </row>
    <row r="54" spans="1:29" x14ac:dyDescent="0.2">
      <c r="A54">
        <f t="shared" si="28"/>
        <v>37</v>
      </c>
      <c r="B54" s="143" t="s">
        <v>416</v>
      </c>
      <c r="C54" s="141">
        <v>4</v>
      </c>
      <c r="D54">
        <f t="shared" si="39"/>
        <v>4500</v>
      </c>
      <c r="E54">
        <f t="shared" si="40"/>
        <v>4600</v>
      </c>
      <c r="F54">
        <f t="shared" si="41"/>
        <v>5500</v>
      </c>
      <c r="G54" s="151">
        <f t="shared" si="42"/>
        <v>3210</v>
      </c>
      <c r="H54">
        <f t="shared" si="43"/>
        <v>4487</v>
      </c>
      <c r="I54" s="59">
        <f t="shared" si="44"/>
        <v>8250</v>
      </c>
      <c r="J54" s="59">
        <f t="shared" si="45"/>
        <v>6750</v>
      </c>
      <c r="K54" s="59">
        <f t="shared" si="46"/>
        <v>6900</v>
      </c>
      <c r="L54" s="175">
        <f t="shared" si="47"/>
        <v>4815</v>
      </c>
      <c r="M54" s="59">
        <f t="shared" si="48"/>
        <v>6730.5</v>
      </c>
      <c r="N54" s="59" t="str">
        <f t="shared" si="49"/>
        <v>нет</v>
      </c>
      <c r="O54" s="21"/>
      <c r="P54" s="61"/>
      <c r="Q54" s="61"/>
      <c r="AA54" s="61"/>
      <c r="AB54" s="61"/>
      <c r="AC54" s="61"/>
    </row>
    <row r="55" spans="1:29" x14ac:dyDescent="0.2">
      <c r="A55">
        <f t="shared" si="28"/>
        <v>38</v>
      </c>
      <c r="B55" s="143" t="s">
        <v>417</v>
      </c>
      <c r="C55" s="141">
        <v>4</v>
      </c>
      <c r="D55">
        <f t="shared" si="39"/>
        <v>4500</v>
      </c>
      <c r="E55">
        <f t="shared" si="40"/>
        <v>4600</v>
      </c>
      <c r="F55">
        <f t="shared" si="41"/>
        <v>5500</v>
      </c>
      <c r="G55" s="151">
        <f t="shared" si="42"/>
        <v>3210</v>
      </c>
      <c r="H55">
        <f t="shared" si="43"/>
        <v>4487</v>
      </c>
      <c r="I55" s="59">
        <f t="shared" si="44"/>
        <v>8250</v>
      </c>
      <c r="J55" s="59">
        <f t="shared" si="45"/>
        <v>6750</v>
      </c>
      <c r="K55" s="59">
        <f t="shared" si="46"/>
        <v>6900</v>
      </c>
      <c r="L55" s="175">
        <f t="shared" si="47"/>
        <v>4815</v>
      </c>
      <c r="M55" s="59">
        <f t="shared" si="48"/>
        <v>6730.5</v>
      </c>
      <c r="N55" s="59" t="str">
        <f t="shared" si="49"/>
        <v>нет</v>
      </c>
      <c r="O55" s="21"/>
      <c r="P55" s="61"/>
      <c r="Q55" s="61"/>
      <c r="AA55" s="61"/>
      <c r="AB55" s="61"/>
      <c r="AC55" s="61"/>
    </row>
    <row r="56" spans="1:29" x14ac:dyDescent="0.2">
      <c r="A56">
        <f t="shared" si="28"/>
        <v>39</v>
      </c>
      <c r="B56" s="143" t="s">
        <v>373</v>
      </c>
      <c r="C56" s="141">
        <v>4</v>
      </c>
      <c r="D56">
        <f t="shared" si="39"/>
        <v>4500</v>
      </c>
      <c r="E56">
        <f t="shared" si="40"/>
        <v>4600</v>
      </c>
      <c r="F56">
        <f t="shared" si="41"/>
        <v>5500</v>
      </c>
      <c r="G56" s="151">
        <f t="shared" si="42"/>
        <v>3210</v>
      </c>
      <c r="H56">
        <f t="shared" si="43"/>
        <v>4487</v>
      </c>
      <c r="I56" s="59">
        <f t="shared" si="44"/>
        <v>8250</v>
      </c>
      <c r="J56" s="59">
        <f t="shared" si="45"/>
        <v>6750</v>
      </c>
      <c r="K56" s="59">
        <f t="shared" si="46"/>
        <v>6900</v>
      </c>
      <c r="L56" s="175">
        <f t="shared" si="47"/>
        <v>4815</v>
      </c>
      <c r="M56" s="59">
        <f t="shared" si="48"/>
        <v>6730.5</v>
      </c>
      <c r="N56" s="59" t="str">
        <f t="shared" si="49"/>
        <v>нет</v>
      </c>
      <c r="O56" s="21"/>
      <c r="P56" s="61"/>
      <c r="Q56" s="61"/>
      <c r="AA56" s="61"/>
      <c r="AB56" s="61"/>
      <c r="AC56" s="61"/>
    </row>
    <row r="57" spans="1:29" x14ac:dyDescent="0.2">
      <c r="A57">
        <f t="shared" si="28"/>
        <v>40</v>
      </c>
      <c r="B57" s="143" t="s">
        <v>413</v>
      </c>
      <c r="C57" s="141">
        <v>4</v>
      </c>
      <c r="D57">
        <f t="shared" si="39"/>
        <v>4500</v>
      </c>
      <c r="E57">
        <f t="shared" si="40"/>
        <v>4600</v>
      </c>
      <c r="F57">
        <f t="shared" si="41"/>
        <v>5500</v>
      </c>
      <c r="G57" s="151">
        <f t="shared" si="42"/>
        <v>3210</v>
      </c>
      <c r="H57">
        <f t="shared" si="43"/>
        <v>4487</v>
      </c>
      <c r="I57" s="59">
        <f t="shared" si="44"/>
        <v>8250</v>
      </c>
      <c r="J57" s="59">
        <f t="shared" si="45"/>
        <v>6750</v>
      </c>
      <c r="K57" s="59">
        <f t="shared" si="46"/>
        <v>6900</v>
      </c>
      <c r="L57" s="175">
        <f t="shared" si="47"/>
        <v>4815</v>
      </c>
      <c r="M57" s="59">
        <f t="shared" si="48"/>
        <v>6730.5</v>
      </c>
      <c r="N57" s="59" t="str">
        <f t="shared" si="49"/>
        <v>нет</v>
      </c>
      <c r="O57" s="21"/>
      <c r="P57" s="61"/>
      <c r="Q57" s="61"/>
      <c r="AA57" s="61"/>
      <c r="AB57" s="61"/>
      <c r="AC57" s="61"/>
    </row>
    <row r="58" spans="1:29" x14ac:dyDescent="0.2">
      <c r="A58">
        <f t="shared" si="28"/>
        <v>41</v>
      </c>
      <c r="B58" s="143" t="s">
        <v>418</v>
      </c>
      <c r="C58" s="141">
        <v>4</v>
      </c>
      <c r="D58">
        <f t="shared" si="39"/>
        <v>4500</v>
      </c>
      <c r="E58">
        <f t="shared" si="40"/>
        <v>4600</v>
      </c>
      <c r="F58">
        <f t="shared" si="41"/>
        <v>5500</v>
      </c>
      <c r="G58" s="151">
        <f t="shared" si="42"/>
        <v>3210</v>
      </c>
      <c r="H58">
        <f t="shared" si="43"/>
        <v>4487</v>
      </c>
      <c r="I58" s="59">
        <f t="shared" si="44"/>
        <v>8250</v>
      </c>
      <c r="J58" s="59">
        <f t="shared" si="45"/>
        <v>6750</v>
      </c>
      <c r="K58" s="59">
        <f t="shared" si="46"/>
        <v>6900</v>
      </c>
      <c r="L58" s="175">
        <f t="shared" si="47"/>
        <v>4815</v>
      </c>
      <c r="M58" s="59">
        <f t="shared" si="48"/>
        <v>6730.5</v>
      </c>
      <c r="N58" s="59" t="str">
        <f t="shared" si="49"/>
        <v>нет</v>
      </c>
      <c r="O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</row>
    <row r="59" spans="1:29" x14ac:dyDescent="0.2">
      <c r="A59">
        <f t="shared" si="28"/>
        <v>42</v>
      </c>
      <c r="B59" s="143" t="s">
        <v>422</v>
      </c>
      <c r="C59" s="141">
        <v>4</v>
      </c>
      <c r="D59">
        <f t="shared" si="39"/>
        <v>4500</v>
      </c>
      <c r="E59">
        <f t="shared" si="40"/>
        <v>4600</v>
      </c>
      <c r="F59">
        <f t="shared" si="41"/>
        <v>5500</v>
      </c>
      <c r="G59" s="151">
        <f t="shared" si="42"/>
        <v>3210</v>
      </c>
      <c r="H59">
        <f t="shared" si="43"/>
        <v>4487</v>
      </c>
      <c r="I59" s="59">
        <f t="shared" si="44"/>
        <v>8250</v>
      </c>
      <c r="J59" s="59">
        <f t="shared" si="45"/>
        <v>6750</v>
      </c>
      <c r="K59" s="59">
        <f t="shared" si="46"/>
        <v>6900</v>
      </c>
      <c r="L59" s="175">
        <f t="shared" si="47"/>
        <v>4815</v>
      </c>
      <c r="M59" s="59">
        <f t="shared" si="48"/>
        <v>6730.5</v>
      </c>
      <c r="N59" s="59" t="str">
        <f t="shared" si="49"/>
        <v>нет</v>
      </c>
      <c r="O59" s="21"/>
    </row>
    <row r="60" spans="1:29" x14ac:dyDescent="0.2">
      <c r="A60">
        <f t="shared" si="28"/>
        <v>43</v>
      </c>
      <c r="B60" s="143" t="s">
        <v>374</v>
      </c>
      <c r="C60" s="141">
        <v>4</v>
      </c>
      <c r="D60">
        <f t="shared" si="39"/>
        <v>4500</v>
      </c>
      <c r="E60">
        <f t="shared" si="40"/>
        <v>4600</v>
      </c>
      <c r="F60">
        <f t="shared" si="41"/>
        <v>5500</v>
      </c>
      <c r="G60" s="151">
        <f t="shared" si="42"/>
        <v>3210</v>
      </c>
      <c r="H60">
        <f t="shared" si="43"/>
        <v>4487</v>
      </c>
      <c r="I60" s="59">
        <f t="shared" si="44"/>
        <v>8250</v>
      </c>
      <c r="J60" s="59">
        <f t="shared" si="45"/>
        <v>6750</v>
      </c>
      <c r="K60" s="59">
        <f t="shared" si="46"/>
        <v>6900</v>
      </c>
      <c r="L60" s="175">
        <f t="shared" si="47"/>
        <v>4815</v>
      </c>
      <c r="M60" s="59">
        <f t="shared" si="48"/>
        <v>6730.5</v>
      </c>
      <c r="N60" s="59" t="str">
        <f t="shared" si="49"/>
        <v>нет</v>
      </c>
      <c r="O60" s="21"/>
    </row>
    <row r="61" spans="1:29" x14ac:dyDescent="0.2">
      <c r="A61">
        <f t="shared" si="28"/>
        <v>44</v>
      </c>
      <c r="B61" s="141" t="s">
        <v>10</v>
      </c>
      <c r="C61" s="141">
        <v>7</v>
      </c>
      <c r="D61">
        <f t="shared" si="39"/>
        <v>7000</v>
      </c>
      <c r="E61">
        <f t="shared" si="40"/>
        <v>7000</v>
      </c>
      <c r="F61">
        <f t="shared" si="41"/>
        <v>7000</v>
      </c>
      <c r="G61" s="151">
        <f t="shared" si="42"/>
        <v>7000</v>
      </c>
      <c r="H61">
        <f t="shared" si="43"/>
        <v>7000</v>
      </c>
      <c r="I61" s="59">
        <f t="shared" si="44"/>
        <v>7000</v>
      </c>
      <c r="J61" s="59">
        <f t="shared" si="45"/>
        <v>7000</v>
      </c>
      <c r="K61" s="59">
        <f t="shared" si="46"/>
        <v>7000</v>
      </c>
      <c r="L61" s="175">
        <f t="shared" si="47"/>
        <v>7000</v>
      </c>
      <c r="M61" s="59">
        <f t="shared" si="48"/>
        <v>7000</v>
      </c>
      <c r="N61" s="59" t="str">
        <f t="shared" si="49"/>
        <v>нет</v>
      </c>
      <c r="O61" s="21"/>
    </row>
    <row r="62" spans="1:29" x14ac:dyDescent="0.2">
      <c r="A62">
        <f t="shared" si="28"/>
        <v>45</v>
      </c>
      <c r="B62" s="141" t="s">
        <v>423</v>
      </c>
      <c r="C62" s="141">
        <v>4</v>
      </c>
      <c r="D62">
        <f t="shared" si="39"/>
        <v>4500</v>
      </c>
      <c r="E62">
        <f t="shared" si="40"/>
        <v>4600</v>
      </c>
      <c r="F62">
        <f t="shared" si="41"/>
        <v>5500</v>
      </c>
      <c r="G62" s="151">
        <f t="shared" si="42"/>
        <v>3210</v>
      </c>
      <c r="H62">
        <f t="shared" si="43"/>
        <v>4487</v>
      </c>
      <c r="I62" s="59">
        <f t="shared" si="44"/>
        <v>8250</v>
      </c>
      <c r="J62" s="59">
        <f t="shared" si="45"/>
        <v>6750</v>
      </c>
      <c r="K62" s="59">
        <f t="shared" si="46"/>
        <v>6900</v>
      </c>
      <c r="L62" s="175">
        <f t="shared" si="47"/>
        <v>4815</v>
      </c>
      <c r="M62" s="59">
        <f t="shared" si="48"/>
        <v>6730.5</v>
      </c>
      <c r="N62" s="59" t="str">
        <f t="shared" si="49"/>
        <v>нет</v>
      </c>
      <c r="O62" s="21"/>
    </row>
    <row r="63" spans="1:29" x14ac:dyDescent="0.2">
      <c r="A63">
        <f t="shared" si="28"/>
        <v>46</v>
      </c>
      <c r="B63" s="141" t="s">
        <v>115</v>
      </c>
      <c r="C63" s="141">
        <v>7</v>
      </c>
      <c r="D63">
        <f t="shared" si="39"/>
        <v>7000</v>
      </c>
      <c r="E63">
        <f t="shared" si="40"/>
        <v>7000</v>
      </c>
      <c r="F63">
        <f t="shared" si="41"/>
        <v>7000</v>
      </c>
      <c r="G63" s="151">
        <f t="shared" si="42"/>
        <v>7000</v>
      </c>
      <c r="H63">
        <f t="shared" si="43"/>
        <v>7000</v>
      </c>
      <c r="I63" s="59">
        <f t="shared" si="44"/>
        <v>7000</v>
      </c>
      <c r="J63" s="59">
        <f t="shared" si="45"/>
        <v>7000</v>
      </c>
      <c r="K63" s="59">
        <f t="shared" si="46"/>
        <v>7000</v>
      </c>
      <c r="L63" s="175">
        <f t="shared" si="47"/>
        <v>7000</v>
      </c>
      <c r="M63" s="59">
        <f t="shared" si="48"/>
        <v>7000</v>
      </c>
      <c r="N63" s="59" t="str">
        <f t="shared" si="49"/>
        <v>нет</v>
      </c>
      <c r="O63" s="21"/>
    </row>
    <row r="64" spans="1:29" x14ac:dyDescent="0.2">
      <c r="A64">
        <f t="shared" si="28"/>
        <v>47</v>
      </c>
      <c r="B64" s="141" t="s">
        <v>396</v>
      </c>
      <c r="C64" s="141">
        <v>7</v>
      </c>
      <c r="D64">
        <f t="shared" si="39"/>
        <v>7000</v>
      </c>
      <c r="E64">
        <f t="shared" si="40"/>
        <v>7000</v>
      </c>
      <c r="F64">
        <f t="shared" si="41"/>
        <v>7000</v>
      </c>
      <c r="G64" s="151">
        <f t="shared" si="42"/>
        <v>7000</v>
      </c>
      <c r="H64">
        <f t="shared" si="43"/>
        <v>7000</v>
      </c>
      <c r="I64" s="59">
        <f t="shared" si="44"/>
        <v>7000</v>
      </c>
      <c r="J64" s="59">
        <f t="shared" si="45"/>
        <v>7000</v>
      </c>
      <c r="K64" s="59">
        <f t="shared" si="46"/>
        <v>7000</v>
      </c>
      <c r="L64" s="175">
        <f t="shared" si="47"/>
        <v>7000</v>
      </c>
      <c r="M64" s="59">
        <f t="shared" si="48"/>
        <v>7000</v>
      </c>
      <c r="N64" s="59" t="str">
        <f t="shared" si="49"/>
        <v>нет</v>
      </c>
      <c r="O64" s="21"/>
    </row>
    <row r="65" spans="1:31" x14ac:dyDescent="0.2">
      <c r="A65">
        <f t="shared" si="28"/>
        <v>48</v>
      </c>
      <c r="B65" s="141" t="s">
        <v>121</v>
      </c>
      <c r="C65" s="141">
        <v>2</v>
      </c>
      <c r="D65">
        <f t="shared" si="39"/>
        <v>3400</v>
      </c>
      <c r="E65">
        <f t="shared" si="40"/>
        <v>3500</v>
      </c>
      <c r="F65">
        <f t="shared" si="41"/>
        <v>4170</v>
      </c>
      <c r="G65" s="151">
        <f t="shared" si="42"/>
        <v>3043</v>
      </c>
      <c r="H65">
        <f t="shared" si="43"/>
        <v>4187</v>
      </c>
      <c r="I65" s="59">
        <f t="shared" si="44"/>
        <v>6255</v>
      </c>
      <c r="J65" s="59">
        <f t="shared" si="45"/>
        <v>5100</v>
      </c>
      <c r="K65" s="59">
        <f t="shared" si="46"/>
        <v>5250</v>
      </c>
      <c r="L65" s="175">
        <f t="shared" si="47"/>
        <v>4564.5</v>
      </c>
      <c r="M65" s="59">
        <f t="shared" si="48"/>
        <v>6280.5</v>
      </c>
      <c r="N65" s="59" t="str">
        <f t="shared" si="49"/>
        <v>нет</v>
      </c>
      <c r="O65" s="21"/>
    </row>
    <row r="66" spans="1:31" x14ac:dyDescent="0.2">
      <c r="A66">
        <f t="shared" si="28"/>
        <v>49</v>
      </c>
      <c r="B66" s="141" t="s">
        <v>424</v>
      </c>
      <c r="C66" s="141">
        <v>2</v>
      </c>
      <c r="D66">
        <f t="shared" ref="D66:D193" si="50">VLOOKUP($C66,$C$3:$N$14,2,0)</f>
        <v>3400</v>
      </c>
      <c r="E66">
        <f t="shared" ref="E66:E193" si="51">VLOOKUP($C66,$C$3:$N$14,3,0)</f>
        <v>3500</v>
      </c>
      <c r="F66">
        <f t="shared" ref="F66:F193" si="52">VLOOKUP($C66,$C$3:$N$14,4,0)</f>
        <v>4170</v>
      </c>
      <c r="G66" s="151">
        <f t="shared" ref="G66:G193" si="53">VLOOKUP($C66,$C$3:$N$14,5,0)</f>
        <v>3043</v>
      </c>
      <c r="H66">
        <f t="shared" ref="H66:H193" si="54">VLOOKUP($C66,$C$3:$N$14,6,0)</f>
        <v>4187</v>
      </c>
      <c r="I66" s="59">
        <f t="shared" ref="I66:I193" si="55">VLOOKUP($C66,$C$3:$N$14,7,0)</f>
        <v>6255</v>
      </c>
      <c r="J66" s="59">
        <f t="shared" ref="J66:J193" si="56">VLOOKUP($C66,$C$3:$N$14,8,0)</f>
        <v>5100</v>
      </c>
      <c r="K66" s="59">
        <f t="shared" ref="K66:K193" si="57">VLOOKUP($C66,$C$3:$N$14,9,0)</f>
        <v>5250</v>
      </c>
      <c r="L66" s="175">
        <f t="shared" ref="L66:L193" si="58">VLOOKUP($C66,$C$3:$N$14,10,0)</f>
        <v>4564.5</v>
      </c>
      <c r="M66" s="59">
        <f t="shared" ref="M66:M193" si="59">VLOOKUP($C66,$C$3:$N$14,11,0)</f>
        <v>6280.5</v>
      </c>
      <c r="N66" s="59" t="str">
        <f t="shared" ref="N66:N193" si="60">VLOOKUP($C66,$C$3:$N$14,12,0)</f>
        <v>нет</v>
      </c>
      <c r="O66" s="21"/>
    </row>
    <row r="67" spans="1:31" x14ac:dyDescent="0.2">
      <c r="A67" s="180">
        <f t="shared" si="28"/>
        <v>50</v>
      </c>
      <c r="B67" s="141" t="s">
        <v>122</v>
      </c>
      <c r="C67" s="141">
        <v>2</v>
      </c>
      <c r="D67">
        <f t="shared" si="50"/>
        <v>3400</v>
      </c>
      <c r="E67">
        <f t="shared" si="51"/>
        <v>3500</v>
      </c>
      <c r="F67">
        <f t="shared" si="52"/>
        <v>4170</v>
      </c>
      <c r="G67" s="151">
        <f t="shared" si="53"/>
        <v>3043</v>
      </c>
      <c r="H67">
        <f t="shared" si="54"/>
        <v>4187</v>
      </c>
      <c r="I67" s="59">
        <f t="shared" si="55"/>
        <v>6255</v>
      </c>
      <c r="J67" s="59">
        <f t="shared" si="56"/>
        <v>5100</v>
      </c>
      <c r="K67" s="59">
        <f t="shared" si="57"/>
        <v>5250</v>
      </c>
      <c r="L67" s="175">
        <f t="shared" si="58"/>
        <v>4564.5</v>
      </c>
      <c r="M67" s="59">
        <f t="shared" si="59"/>
        <v>6280.5</v>
      </c>
      <c r="N67" s="59" t="str">
        <f t="shared" si="60"/>
        <v>нет</v>
      </c>
      <c r="O67" s="21"/>
    </row>
    <row r="68" spans="1:31" x14ac:dyDescent="0.2">
      <c r="A68" s="180">
        <f t="shared" si="28"/>
        <v>51</v>
      </c>
      <c r="B68" s="141" t="s">
        <v>375</v>
      </c>
      <c r="C68" s="141">
        <v>4</v>
      </c>
      <c r="D68">
        <f t="shared" si="50"/>
        <v>4500</v>
      </c>
      <c r="E68">
        <f t="shared" si="51"/>
        <v>4600</v>
      </c>
      <c r="F68">
        <f t="shared" si="52"/>
        <v>5500</v>
      </c>
      <c r="G68" s="151">
        <f t="shared" si="53"/>
        <v>3210</v>
      </c>
      <c r="H68">
        <f t="shared" si="54"/>
        <v>4487</v>
      </c>
      <c r="I68" s="59">
        <f t="shared" si="55"/>
        <v>8250</v>
      </c>
      <c r="J68" s="59">
        <f t="shared" si="56"/>
        <v>6750</v>
      </c>
      <c r="K68" s="59">
        <f t="shared" si="57"/>
        <v>6900</v>
      </c>
      <c r="L68" s="175">
        <f t="shared" si="58"/>
        <v>4815</v>
      </c>
      <c r="M68" s="59">
        <f t="shared" si="59"/>
        <v>6730.5</v>
      </c>
      <c r="N68" s="59" t="str">
        <f t="shared" si="60"/>
        <v>нет</v>
      </c>
      <c r="O68" s="21"/>
    </row>
    <row r="69" spans="1:31" x14ac:dyDescent="0.2">
      <c r="A69" s="180">
        <f t="shared" si="28"/>
        <v>52</v>
      </c>
      <c r="B69" s="141" t="s">
        <v>361</v>
      </c>
      <c r="C69" s="141">
        <v>2</v>
      </c>
      <c r="D69">
        <f t="shared" si="50"/>
        <v>3400</v>
      </c>
      <c r="E69">
        <f t="shared" si="51"/>
        <v>3500</v>
      </c>
      <c r="F69">
        <f t="shared" si="52"/>
        <v>4170</v>
      </c>
      <c r="G69" s="151">
        <f t="shared" si="53"/>
        <v>3043</v>
      </c>
      <c r="H69">
        <f t="shared" si="54"/>
        <v>4187</v>
      </c>
      <c r="I69" s="59">
        <f t="shared" si="55"/>
        <v>6255</v>
      </c>
      <c r="J69" s="59">
        <f t="shared" si="56"/>
        <v>5100</v>
      </c>
      <c r="K69" s="59">
        <f t="shared" si="57"/>
        <v>5250</v>
      </c>
      <c r="L69" s="175">
        <f t="shared" si="58"/>
        <v>4564.5</v>
      </c>
      <c r="M69" s="59">
        <f t="shared" si="59"/>
        <v>6280.5</v>
      </c>
      <c r="N69" s="59" t="str">
        <f t="shared" si="60"/>
        <v>нет</v>
      </c>
      <c r="O69" s="21"/>
    </row>
    <row r="70" spans="1:31" x14ac:dyDescent="0.2">
      <c r="A70" s="180">
        <f t="shared" si="28"/>
        <v>53</v>
      </c>
      <c r="B70" s="141" t="s">
        <v>381</v>
      </c>
      <c r="C70" s="141">
        <v>2</v>
      </c>
      <c r="D70">
        <f t="shared" si="50"/>
        <v>3400</v>
      </c>
      <c r="E70">
        <f t="shared" si="51"/>
        <v>3500</v>
      </c>
      <c r="F70">
        <f t="shared" si="52"/>
        <v>4170</v>
      </c>
      <c r="G70" s="151">
        <f t="shared" si="53"/>
        <v>3043</v>
      </c>
      <c r="H70">
        <f t="shared" si="54"/>
        <v>4187</v>
      </c>
      <c r="I70" s="59">
        <f t="shared" si="55"/>
        <v>6255</v>
      </c>
      <c r="J70" s="59">
        <f t="shared" si="56"/>
        <v>5100</v>
      </c>
      <c r="K70" s="59">
        <f t="shared" si="57"/>
        <v>5250</v>
      </c>
      <c r="L70" s="175">
        <f t="shared" si="58"/>
        <v>4564.5</v>
      </c>
      <c r="M70" s="59">
        <f t="shared" si="59"/>
        <v>6280.5</v>
      </c>
      <c r="N70" s="59" t="str">
        <f t="shared" si="60"/>
        <v>нет</v>
      </c>
      <c r="O70" s="21"/>
    </row>
    <row r="71" spans="1:31" x14ac:dyDescent="0.2">
      <c r="A71" s="180">
        <f t="shared" si="28"/>
        <v>54</v>
      </c>
      <c r="B71" s="141" t="s">
        <v>123</v>
      </c>
      <c r="C71" s="141">
        <v>2</v>
      </c>
      <c r="D71">
        <f t="shared" si="50"/>
        <v>3400</v>
      </c>
      <c r="E71">
        <f t="shared" si="51"/>
        <v>3500</v>
      </c>
      <c r="F71">
        <f t="shared" si="52"/>
        <v>4170</v>
      </c>
      <c r="G71" s="151">
        <f t="shared" si="53"/>
        <v>3043</v>
      </c>
      <c r="H71">
        <f t="shared" si="54"/>
        <v>4187</v>
      </c>
      <c r="I71" s="59">
        <f t="shared" si="55"/>
        <v>6255</v>
      </c>
      <c r="J71" s="59">
        <f t="shared" si="56"/>
        <v>5100</v>
      </c>
      <c r="K71" s="59">
        <f t="shared" si="57"/>
        <v>5250</v>
      </c>
      <c r="L71" s="175">
        <f t="shared" si="58"/>
        <v>4564.5</v>
      </c>
      <c r="M71" s="59">
        <f t="shared" si="59"/>
        <v>6280.5</v>
      </c>
      <c r="N71" s="59" t="str">
        <f t="shared" si="60"/>
        <v>нет</v>
      </c>
      <c r="O71" s="21"/>
    </row>
    <row r="72" spans="1:31" x14ac:dyDescent="0.2">
      <c r="A72" s="180">
        <f t="shared" si="28"/>
        <v>55</v>
      </c>
      <c r="B72" s="143" t="s">
        <v>194</v>
      </c>
      <c r="C72" s="141">
        <v>4</v>
      </c>
      <c r="D72" s="108">
        <f t="shared" si="50"/>
        <v>4500</v>
      </c>
      <c r="E72" s="108">
        <f t="shared" si="51"/>
        <v>4600</v>
      </c>
      <c r="F72" s="108">
        <f t="shared" si="52"/>
        <v>5500</v>
      </c>
      <c r="G72" s="168">
        <f t="shared" si="53"/>
        <v>3210</v>
      </c>
      <c r="H72" s="108">
        <f t="shared" si="54"/>
        <v>4487</v>
      </c>
      <c r="I72" s="129">
        <f t="shared" si="55"/>
        <v>8250</v>
      </c>
      <c r="J72" s="129">
        <f t="shared" si="56"/>
        <v>6750</v>
      </c>
      <c r="K72" s="129">
        <f t="shared" si="57"/>
        <v>6900</v>
      </c>
      <c r="L72" s="178">
        <f t="shared" si="58"/>
        <v>4815</v>
      </c>
      <c r="M72" s="129">
        <f t="shared" si="59"/>
        <v>6730.5</v>
      </c>
      <c r="N72" s="129" t="str">
        <f t="shared" si="60"/>
        <v>нет</v>
      </c>
      <c r="O72" s="21"/>
    </row>
    <row r="73" spans="1:31" x14ac:dyDescent="0.2">
      <c r="A73" s="180">
        <f t="shared" si="28"/>
        <v>56</v>
      </c>
      <c r="B73" s="143" t="s">
        <v>400</v>
      </c>
      <c r="C73" s="141">
        <v>4</v>
      </c>
      <c r="D73" s="108">
        <f t="shared" si="50"/>
        <v>4500</v>
      </c>
      <c r="E73" s="108">
        <f t="shared" si="51"/>
        <v>4600</v>
      </c>
      <c r="F73" s="108">
        <f t="shared" si="52"/>
        <v>5500</v>
      </c>
      <c r="G73" s="168">
        <f t="shared" si="53"/>
        <v>3210</v>
      </c>
      <c r="H73" s="108">
        <f t="shared" si="54"/>
        <v>4487</v>
      </c>
      <c r="I73" s="129">
        <f t="shared" si="55"/>
        <v>8250</v>
      </c>
      <c r="J73" s="129">
        <f t="shared" si="56"/>
        <v>6750</v>
      </c>
      <c r="K73" s="129">
        <f t="shared" si="57"/>
        <v>6900</v>
      </c>
      <c r="L73" s="178">
        <f t="shared" si="58"/>
        <v>4815</v>
      </c>
      <c r="M73" s="129">
        <f t="shared" si="59"/>
        <v>6730.5</v>
      </c>
      <c r="N73" s="129" t="str">
        <f t="shared" si="60"/>
        <v>нет</v>
      </c>
      <c r="O73" s="21"/>
    </row>
    <row r="74" spans="1:31" x14ac:dyDescent="0.2">
      <c r="A74" s="180">
        <f t="shared" si="28"/>
        <v>57</v>
      </c>
      <c r="B74" s="143" t="s">
        <v>425</v>
      </c>
      <c r="C74" s="141">
        <v>4</v>
      </c>
      <c r="D74" s="108">
        <f>VLOOKUP($C74,$C$3:$N$14,2,0)</f>
        <v>4500</v>
      </c>
      <c r="E74" s="108">
        <f t="shared" si="51"/>
        <v>4600</v>
      </c>
      <c r="F74" s="108">
        <f t="shared" si="52"/>
        <v>5500</v>
      </c>
      <c r="G74" s="168">
        <f t="shared" si="53"/>
        <v>3210</v>
      </c>
      <c r="H74" s="108">
        <f t="shared" si="54"/>
        <v>4487</v>
      </c>
      <c r="I74" s="129">
        <f t="shared" si="55"/>
        <v>8250</v>
      </c>
      <c r="J74" s="129">
        <f t="shared" si="56"/>
        <v>6750</v>
      </c>
      <c r="K74" s="129">
        <f t="shared" si="57"/>
        <v>6900</v>
      </c>
      <c r="L74" s="178">
        <f t="shared" si="58"/>
        <v>4815</v>
      </c>
      <c r="M74" s="129">
        <f t="shared" si="59"/>
        <v>6730.5</v>
      </c>
      <c r="N74" s="129" t="str">
        <f t="shared" si="60"/>
        <v>нет</v>
      </c>
      <c r="O74" s="21"/>
    </row>
    <row r="75" spans="1:31" x14ac:dyDescent="0.2">
      <c r="A75" s="180">
        <f t="shared" si="28"/>
        <v>58</v>
      </c>
      <c r="B75" s="143" t="s">
        <v>445</v>
      </c>
      <c r="C75" s="141">
        <v>4</v>
      </c>
      <c r="D75" s="108">
        <f t="shared" si="50"/>
        <v>4500</v>
      </c>
      <c r="E75" s="108">
        <f t="shared" si="51"/>
        <v>4600</v>
      </c>
      <c r="F75" s="108">
        <f t="shared" si="52"/>
        <v>5500</v>
      </c>
      <c r="G75" s="168">
        <f t="shared" si="53"/>
        <v>3210</v>
      </c>
      <c r="H75" s="108">
        <f t="shared" si="54"/>
        <v>4487</v>
      </c>
      <c r="I75" s="129">
        <f t="shared" si="55"/>
        <v>8250</v>
      </c>
      <c r="J75" s="129">
        <f t="shared" si="56"/>
        <v>6750</v>
      </c>
      <c r="K75" s="129">
        <f t="shared" si="57"/>
        <v>6900</v>
      </c>
      <c r="L75" s="178">
        <f t="shared" si="58"/>
        <v>4815</v>
      </c>
      <c r="M75" s="129">
        <f t="shared" si="59"/>
        <v>6730.5</v>
      </c>
      <c r="N75" s="129" t="str">
        <f t="shared" si="60"/>
        <v>нет</v>
      </c>
      <c r="O75" s="21"/>
    </row>
    <row r="76" spans="1:31" x14ac:dyDescent="0.2">
      <c r="A76" s="180">
        <f t="shared" si="28"/>
        <v>59</v>
      </c>
      <c r="B76" s="143" t="s">
        <v>409</v>
      </c>
      <c r="C76" s="141">
        <v>4</v>
      </c>
      <c r="D76" s="108">
        <f t="shared" si="50"/>
        <v>4500</v>
      </c>
      <c r="E76" s="108">
        <f t="shared" si="51"/>
        <v>4600</v>
      </c>
      <c r="F76" s="108">
        <f t="shared" si="52"/>
        <v>5500</v>
      </c>
      <c r="G76" s="168">
        <f t="shared" si="53"/>
        <v>3210</v>
      </c>
      <c r="H76" s="108">
        <f t="shared" si="54"/>
        <v>4487</v>
      </c>
      <c r="I76" s="129">
        <f t="shared" si="55"/>
        <v>8250</v>
      </c>
      <c r="J76" s="129">
        <f t="shared" si="56"/>
        <v>6750</v>
      </c>
      <c r="K76" s="129">
        <f t="shared" si="57"/>
        <v>6900</v>
      </c>
      <c r="L76" s="178">
        <f t="shared" si="58"/>
        <v>4815</v>
      </c>
      <c r="M76" s="129">
        <f t="shared" si="59"/>
        <v>6730.5</v>
      </c>
      <c r="N76" s="129" t="str">
        <f t="shared" si="60"/>
        <v>нет</v>
      </c>
      <c r="O76" s="21"/>
    </row>
    <row r="77" spans="1:31" s="128" customFormat="1" x14ac:dyDescent="0.2">
      <c r="A77" s="180">
        <f t="shared" si="28"/>
        <v>60</v>
      </c>
      <c r="B77" s="143" t="s">
        <v>382</v>
      </c>
      <c r="C77" s="141">
        <v>4</v>
      </c>
      <c r="D77" s="108">
        <f t="shared" si="50"/>
        <v>4500</v>
      </c>
      <c r="E77" s="108">
        <f t="shared" si="51"/>
        <v>4600</v>
      </c>
      <c r="F77" s="108">
        <f t="shared" si="52"/>
        <v>5500</v>
      </c>
      <c r="G77" s="168">
        <f t="shared" si="53"/>
        <v>3210</v>
      </c>
      <c r="H77" s="108">
        <f t="shared" si="54"/>
        <v>4487</v>
      </c>
      <c r="I77" s="129">
        <f t="shared" si="55"/>
        <v>8250</v>
      </c>
      <c r="J77" s="129">
        <f t="shared" si="56"/>
        <v>6750</v>
      </c>
      <c r="K77" s="129">
        <f t="shared" si="57"/>
        <v>6900</v>
      </c>
      <c r="L77" s="178">
        <f t="shared" si="58"/>
        <v>4815</v>
      </c>
      <c r="M77" s="129">
        <f t="shared" si="59"/>
        <v>6730.5</v>
      </c>
      <c r="N77" s="129" t="str">
        <f t="shared" si="60"/>
        <v>нет</v>
      </c>
      <c r="O77" s="21"/>
      <c r="P77"/>
      <c r="Q77"/>
      <c r="R77" s="61"/>
      <c r="S77" s="61"/>
      <c r="T77" s="61"/>
      <c r="U77" s="61"/>
      <c r="V77" s="61"/>
      <c r="W77" s="61"/>
      <c r="X77" s="61"/>
      <c r="Y77" s="61"/>
      <c r="Z77" s="61"/>
      <c r="AA77" s="145"/>
      <c r="AB77" s="145"/>
      <c r="AC77" s="145"/>
      <c r="AD77" s="145"/>
      <c r="AE77" s="145"/>
    </row>
    <row r="78" spans="1:31" s="128" customFormat="1" x14ac:dyDescent="0.2">
      <c r="A78" s="180">
        <f t="shared" si="28"/>
        <v>61</v>
      </c>
      <c r="B78" s="143" t="s">
        <v>426</v>
      </c>
      <c r="C78" s="141">
        <v>4</v>
      </c>
      <c r="D78" s="108">
        <f t="shared" si="50"/>
        <v>4500</v>
      </c>
      <c r="E78" s="108">
        <f t="shared" si="51"/>
        <v>4600</v>
      </c>
      <c r="F78" s="108">
        <f t="shared" si="52"/>
        <v>5500</v>
      </c>
      <c r="G78" s="168">
        <f t="shared" si="53"/>
        <v>3210</v>
      </c>
      <c r="H78" s="108">
        <f t="shared" si="54"/>
        <v>4487</v>
      </c>
      <c r="I78" s="129">
        <f t="shared" si="55"/>
        <v>8250</v>
      </c>
      <c r="J78" s="129">
        <f t="shared" si="56"/>
        <v>6750</v>
      </c>
      <c r="K78" s="129">
        <f t="shared" si="57"/>
        <v>6900</v>
      </c>
      <c r="L78" s="178">
        <f t="shared" si="58"/>
        <v>4815</v>
      </c>
      <c r="M78" s="129">
        <f t="shared" si="59"/>
        <v>6730.5</v>
      </c>
      <c r="N78" s="129" t="str">
        <f t="shared" si="60"/>
        <v>нет</v>
      </c>
      <c r="O78" s="21"/>
      <c r="P78"/>
      <c r="Q78"/>
      <c r="R78" s="61"/>
      <c r="S78" s="61"/>
      <c r="T78" s="61"/>
      <c r="U78" s="61"/>
      <c r="V78" s="61"/>
      <c r="W78" s="61"/>
      <c r="X78" s="61"/>
      <c r="Y78" s="61"/>
      <c r="Z78" s="61"/>
      <c r="AA78" s="145"/>
      <c r="AB78" s="145"/>
      <c r="AC78" s="145"/>
      <c r="AD78" s="145"/>
      <c r="AE78" s="145"/>
    </row>
    <row r="79" spans="1:31" s="128" customFormat="1" x14ac:dyDescent="0.2">
      <c r="A79" s="180">
        <f t="shared" si="28"/>
        <v>62</v>
      </c>
      <c r="B79" s="143" t="s">
        <v>199</v>
      </c>
      <c r="C79" s="141">
        <v>4</v>
      </c>
      <c r="D79" s="108">
        <f t="shared" si="50"/>
        <v>4500</v>
      </c>
      <c r="E79" s="108">
        <f t="shared" si="51"/>
        <v>4600</v>
      </c>
      <c r="F79" s="108">
        <f t="shared" si="52"/>
        <v>5500</v>
      </c>
      <c r="G79" s="168">
        <f t="shared" si="53"/>
        <v>3210</v>
      </c>
      <c r="H79" s="108">
        <f t="shared" si="54"/>
        <v>4487</v>
      </c>
      <c r="I79" s="129">
        <f t="shared" si="55"/>
        <v>8250</v>
      </c>
      <c r="J79" s="129">
        <f t="shared" si="56"/>
        <v>6750</v>
      </c>
      <c r="K79" s="129">
        <f t="shared" si="57"/>
        <v>6900</v>
      </c>
      <c r="L79" s="178">
        <f t="shared" si="58"/>
        <v>4815</v>
      </c>
      <c r="M79" s="129">
        <f t="shared" si="59"/>
        <v>6730.5</v>
      </c>
      <c r="N79" s="129" t="str">
        <f t="shared" si="60"/>
        <v>нет</v>
      </c>
      <c r="O79" s="21"/>
      <c r="P79"/>
      <c r="Q79"/>
      <c r="R79" s="61"/>
      <c r="S79" s="61"/>
      <c r="T79" s="61"/>
      <c r="U79" s="61"/>
      <c r="V79" s="61"/>
      <c r="W79" s="61"/>
      <c r="X79" s="61"/>
      <c r="Y79" s="61"/>
      <c r="Z79" s="61"/>
      <c r="AA79" s="145"/>
      <c r="AB79" s="145"/>
      <c r="AC79" s="145"/>
      <c r="AD79" s="145"/>
      <c r="AE79" s="145"/>
    </row>
    <row r="80" spans="1:31" s="128" customFormat="1" x14ac:dyDescent="0.2">
      <c r="A80" s="180">
        <f t="shared" si="28"/>
        <v>63</v>
      </c>
      <c r="B80" s="143" t="s">
        <v>427</v>
      </c>
      <c r="C80" s="141">
        <v>4</v>
      </c>
      <c r="D80" s="108">
        <f t="shared" si="50"/>
        <v>4500</v>
      </c>
      <c r="E80" s="108">
        <f t="shared" si="51"/>
        <v>4600</v>
      </c>
      <c r="F80" s="108">
        <f t="shared" si="52"/>
        <v>5500</v>
      </c>
      <c r="G80" s="168">
        <f t="shared" si="53"/>
        <v>3210</v>
      </c>
      <c r="H80" s="108">
        <f t="shared" si="54"/>
        <v>4487</v>
      </c>
      <c r="I80" s="129">
        <f t="shared" si="55"/>
        <v>8250</v>
      </c>
      <c r="J80" s="129">
        <f t="shared" si="56"/>
        <v>6750</v>
      </c>
      <c r="K80" s="129">
        <f t="shared" si="57"/>
        <v>6900</v>
      </c>
      <c r="L80" s="178">
        <f t="shared" si="58"/>
        <v>4815</v>
      </c>
      <c r="M80" s="129">
        <f t="shared" si="59"/>
        <v>6730.5</v>
      </c>
      <c r="N80" s="129" t="str">
        <f t="shared" si="60"/>
        <v>нет</v>
      </c>
      <c r="O80" s="21"/>
      <c r="P80"/>
      <c r="Q80"/>
      <c r="R80" s="61"/>
      <c r="S80" s="61"/>
      <c r="T80" s="61"/>
      <c r="U80" s="61"/>
      <c r="V80" s="61"/>
      <c r="W80" s="61"/>
      <c r="X80" s="61"/>
      <c r="Y80" s="61"/>
      <c r="Z80" s="61"/>
      <c r="AA80" s="145"/>
      <c r="AB80" s="145"/>
      <c r="AC80" s="145"/>
      <c r="AD80" s="145"/>
      <c r="AE80" s="145"/>
    </row>
    <row r="81" spans="1:31" s="128" customFormat="1" x14ac:dyDescent="0.2">
      <c r="A81" s="180">
        <f t="shared" si="28"/>
        <v>64</v>
      </c>
      <c r="B81" s="143" t="s">
        <v>383</v>
      </c>
      <c r="C81" s="141">
        <v>4</v>
      </c>
      <c r="D81" s="108">
        <f t="shared" si="50"/>
        <v>4500</v>
      </c>
      <c r="E81" s="108">
        <f t="shared" si="51"/>
        <v>4600</v>
      </c>
      <c r="F81" s="108">
        <f t="shared" si="52"/>
        <v>5500</v>
      </c>
      <c r="G81" s="168">
        <f t="shared" si="53"/>
        <v>3210</v>
      </c>
      <c r="H81" s="108">
        <f t="shared" si="54"/>
        <v>4487</v>
      </c>
      <c r="I81" s="129">
        <f t="shared" si="55"/>
        <v>8250</v>
      </c>
      <c r="J81" s="129">
        <f t="shared" si="56"/>
        <v>6750</v>
      </c>
      <c r="K81" s="129">
        <f t="shared" si="57"/>
        <v>6900</v>
      </c>
      <c r="L81" s="178">
        <f t="shared" si="58"/>
        <v>4815</v>
      </c>
      <c r="M81" s="129">
        <f t="shared" si="59"/>
        <v>6730.5</v>
      </c>
      <c r="N81" s="129" t="str">
        <f t="shared" si="60"/>
        <v>нет</v>
      </c>
      <c r="O81" s="21"/>
      <c r="P81"/>
      <c r="Q81"/>
      <c r="R81" s="61"/>
      <c r="S81" s="61"/>
      <c r="T81" s="61"/>
      <c r="U81" s="61"/>
      <c r="V81" s="61"/>
      <c r="W81" s="61"/>
      <c r="X81" s="61"/>
      <c r="Y81" s="61"/>
      <c r="Z81" s="61"/>
      <c r="AA81" s="145"/>
      <c r="AB81" s="145"/>
      <c r="AC81" s="145"/>
      <c r="AD81" s="145"/>
      <c r="AE81" s="145"/>
    </row>
    <row r="82" spans="1:31" s="128" customFormat="1" x14ac:dyDescent="0.2">
      <c r="A82" s="180">
        <f t="shared" si="28"/>
        <v>65</v>
      </c>
      <c r="B82" s="143" t="s">
        <v>428</v>
      </c>
      <c r="C82" s="141">
        <v>4</v>
      </c>
      <c r="D82" s="108">
        <f t="shared" si="50"/>
        <v>4500</v>
      </c>
      <c r="E82" s="108">
        <f t="shared" si="51"/>
        <v>4600</v>
      </c>
      <c r="F82" s="108">
        <f t="shared" si="52"/>
        <v>5500</v>
      </c>
      <c r="G82" s="168">
        <f t="shared" si="53"/>
        <v>3210</v>
      </c>
      <c r="H82" s="108">
        <f t="shared" si="54"/>
        <v>4487</v>
      </c>
      <c r="I82" s="129">
        <f t="shared" si="55"/>
        <v>8250</v>
      </c>
      <c r="J82" s="129">
        <f t="shared" si="56"/>
        <v>6750</v>
      </c>
      <c r="K82" s="129">
        <f t="shared" si="57"/>
        <v>6900</v>
      </c>
      <c r="L82" s="178">
        <f t="shared" si="58"/>
        <v>4815</v>
      </c>
      <c r="M82" s="129">
        <f t="shared" si="59"/>
        <v>6730.5</v>
      </c>
      <c r="N82" s="129" t="str">
        <f t="shared" si="60"/>
        <v>нет</v>
      </c>
      <c r="O82" s="21"/>
      <c r="P82"/>
      <c r="Q82"/>
      <c r="R82" s="61"/>
      <c r="S82" s="61"/>
      <c r="T82" s="61"/>
      <c r="U82" s="61"/>
      <c r="V82" s="61"/>
      <c r="W82" s="61"/>
      <c r="X82" s="61"/>
      <c r="Y82" s="61"/>
      <c r="Z82" s="61"/>
      <c r="AA82" s="145"/>
      <c r="AB82" s="145"/>
      <c r="AC82" s="145"/>
      <c r="AD82" s="145"/>
      <c r="AE82" s="145"/>
    </row>
    <row r="83" spans="1:31" s="128" customFormat="1" x14ac:dyDescent="0.2">
      <c r="A83" s="180">
        <f t="shared" si="28"/>
        <v>66</v>
      </c>
      <c r="B83" s="143" t="s">
        <v>362</v>
      </c>
      <c r="C83" s="141">
        <v>4</v>
      </c>
      <c r="D83" s="108">
        <f t="shared" si="50"/>
        <v>4500</v>
      </c>
      <c r="E83" s="108">
        <f t="shared" si="51"/>
        <v>4600</v>
      </c>
      <c r="F83" s="108">
        <f t="shared" si="52"/>
        <v>5500</v>
      </c>
      <c r="G83" s="168">
        <f t="shared" si="53"/>
        <v>3210</v>
      </c>
      <c r="H83" s="108">
        <f t="shared" si="54"/>
        <v>4487</v>
      </c>
      <c r="I83" s="129">
        <f t="shared" si="55"/>
        <v>8250</v>
      </c>
      <c r="J83" s="129">
        <f t="shared" si="56"/>
        <v>6750</v>
      </c>
      <c r="K83" s="129">
        <f t="shared" si="57"/>
        <v>6900</v>
      </c>
      <c r="L83" s="178">
        <f t="shared" si="58"/>
        <v>4815</v>
      </c>
      <c r="M83" s="129">
        <f t="shared" si="59"/>
        <v>6730.5</v>
      </c>
      <c r="N83" s="129" t="str">
        <f t="shared" si="60"/>
        <v>нет</v>
      </c>
      <c r="O83" s="21"/>
      <c r="P83"/>
      <c r="Q83"/>
      <c r="R83" s="61"/>
      <c r="S83" s="61"/>
      <c r="T83" s="61"/>
      <c r="U83" s="61"/>
      <c r="V83" s="61"/>
      <c r="W83" s="61"/>
      <c r="X83" s="61"/>
      <c r="Y83" s="61"/>
      <c r="Z83" s="61"/>
      <c r="AA83" s="145"/>
      <c r="AB83" s="145"/>
      <c r="AC83" s="145"/>
      <c r="AD83" s="145"/>
      <c r="AE83" s="145"/>
    </row>
    <row r="84" spans="1:31" s="128" customFormat="1" x14ac:dyDescent="0.2">
      <c r="A84" s="180">
        <f t="shared" ref="A84:A147" si="61">A83+1</f>
        <v>67</v>
      </c>
      <c r="B84" s="143" t="s">
        <v>197</v>
      </c>
      <c r="C84" s="141">
        <v>4</v>
      </c>
      <c r="D84" s="108">
        <f t="shared" si="50"/>
        <v>4500</v>
      </c>
      <c r="E84" s="108">
        <f t="shared" si="51"/>
        <v>4600</v>
      </c>
      <c r="F84" s="108">
        <f t="shared" si="52"/>
        <v>5500</v>
      </c>
      <c r="G84" s="168">
        <f t="shared" si="53"/>
        <v>3210</v>
      </c>
      <c r="H84" s="108">
        <f t="shared" si="54"/>
        <v>4487</v>
      </c>
      <c r="I84" s="129">
        <f t="shared" si="55"/>
        <v>8250</v>
      </c>
      <c r="J84" s="129">
        <f t="shared" si="56"/>
        <v>6750</v>
      </c>
      <c r="K84" s="129">
        <f t="shared" si="57"/>
        <v>6900</v>
      </c>
      <c r="L84" s="178">
        <f t="shared" si="58"/>
        <v>4815</v>
      </c>
      <c r="M84" s="129">
        <f t="shared" si="59"/>
        <v>6730.5</v>
      </c>
      <c r="N84" s="129" t="str">
        <f t="shared" si="60"/>
        <v>нет</v>
      </c>
      <c r="O84" s="21"/>
      <c r="P84"/>
      <c r="Q84"/>
      <c r="R84" s="61"/>
      <c r="S84" s="61"/>
      <c r="T84" s="61"/>
      <c r="U84" s="61"/>
      <c r="V84" s="61"/>
      <c r="W84" s="61"/>
      <c r="X84" s="61"/>
      <c r="Y84" s="61"/>
      <c r="Z84" s="61"/>
      <c r="AA84" s="145"/>
      <c r="AB84" s="145"/>
      <c r="AC84" s="145"/>
      <c r="AD84" s="145"/>
      <c r="AE84" s="145"/>
    </row>
    <row r="85" spans="1:31" s="128" customFormat="1" x14ac:dyDescent="0.2">
      <c r="A85" s="180">
        <f t="shared" si="61"/>
        <v>68</v>
      </c>
      <c r="B85" s="143" t="s">
        <v>401</v>
      </c>
      <c r="C85" s="141">
        <v>4</v>
      </c>
      <c r="D85" s="108">
        <f t="shared" si="50"/>
        <v>4500</v>
      </c>
      <c r="E85" s="108">
        <f t="shared" si="51"/>
        <v>4600</v>
      </c>
      <c r="F85" s="108">
        <f t="shared" si="52"/>
        <v>5500</v>
      </c>
      <c r="G85" s="168">
        <f t="shared" si="53"/>
        <v>3210</v>
      </c>
      <c r="H85" s="108">
        <f t="shared" si="54"/>
        <v>4487</v>
      </c>
      <c r="I85" s="129">
        <f t="shared" si="55"/>
        <v>8250</v>
      </c>
      <c r="J85" s="129">
        <f t="shared" si="56"/>
        <v>6750</v>
      </c>
      <c r="K85" s="129">
        <f t="shared" si="57"/>
        <v>6900</v>
      </c>
      <c r="L85" s="178">
        <f t="shared" si="58"/>
        <v>4815</v>
      </c>
      <c r="M85" s="129">
        <f t="shared" si="59"/>
        <v>6730.5</v>
      </c>
      <c r="N85" s="129" t="str">
        <f t="shared" si="60"/>
        <v>нет</v>
      </c>
      <c r="O85" s="21"/>
      <c r="P85"/>
      <c r="Q85"/>
      <c r="R85" s="61"/>
      <c r="S85" s="61"/>
      <c r="T85" s="61"/>
      <c r="U85" s="61"/>
      <c r="V85" s="61"/>
      <c r="W85" s="61"/>
      <c r="X85" s="61"/>
      <c r="Y85" s="61"/>
      <c r="Z85" s="61"/>
      <c r="AA85" s="145"/>
      <c r="AB85" s="145"/>
      <c r="AC85" s="145"/>
      <c r="AD85" s="145"/>
      <c r="AE85" s="145"/>
    </row>
    <row r="86" spans="1:31" s="128" customFormat="1" x14ac:dyDescent="0.2">
      <c r="A86" s="180">
        <f t="shared" si="61"/>
        <v>69</v>
      </c>
      <c r="B86" s="143" t="s">
        <v>431</v>
      </c>
      <c r="C86" s="141">
        <v>4</v>
      </c>
      <c r="D86" s="108">
        <f t="shared" si="50"/>
        <v>4500</v>
      </c>
      <c r="E86" s="108">
        <f t="shared" si="51"/>
        <v>4600</v>
      </c>
      <c r="F86" s="108">
        <f t="shared" si="52"/>
        <v>5500</v>
      </c>
      <c r="G86" s="168">
        <f t="shared" si="53"/>
        <v>3210</v>
      </c>
      <c r="H86" s="108">
        <f t="shared" si="54"/>
        <v>4487</v>
      </c>
      <c r="I86" s="129">
        <f t="shared" si="55"/>
        <v>8250</v>
      </c>
      <c r="J86" s="129">
        <f t="shared" si="56"/>
        <v>6750</v>
      </c>
      <c r="K86" s="129">
        <f t="shared" si="57"/>
        <v>6900</v>
      </c>
      <c r="L86" s="178">
        <f t="shared" si="58"/>
        <v>4815</v>
      </c>
      <c r="M86" s="129">
        <f t="shared" si="59"/>
        <v>6730.5</v>
      </c>
      <c r="N86" s="129" t="str">
        <f t="shared" si="60"/>
        <v>нет</v>
      </c>
      <c r="O86" s="21"/>
      <c r="P86"/>
      <c r="Q86"/>
      <c r="R86" s="61"/>
      <c r="S86" s="61"/>
      <c r="T86" s="61"/>
      <c r="U86" s="61"/>
      <c r="V86" s="61"/>
      <c r="W86" s="61"/>
      <c r="X86" s="61"/>
      <c r="Y86" s="61"/>
      <c r="Z86" s="61"/>
      <c r="AA86" s="145"/>
      <c r="AB86" s="145"/>
      <c r="AC86" s="145"/>
      <c r="AD86" s="145"/>
      <c r="AE86" s="145"/>
    </row>
    <row r="87" spans="1:31" s="128" customFormat="1" x14ac:dyDescent="0.2">
      <c r="A87" s="180">
        <f t="shared" si="61"/>
        <v>70</v>
      </c>
      <c r="B87" s="143" t="s">
        <v>198</v>
      </c>
      <c r="C87" s="141">
        <v>4</v>
      </c>
      <c r="D87" s="108">
        <f t="shared" si="50"/>
        <v>4500</v>
      </c>
      <c r="E87" s="108">
        <f t="shared" si="51"/>
        <v>4600</v>
      </c>
      <c r="F87" s="108">
        <f t="shared" si="52"/>
        <v>5500</v>
      </c>
      <c r="G87" s="168">
        <f t="shared" si="53"/>
        <v>3210</v>
      </c>
      <c r="H87" s="108">
        <f t="shared" si="54"/>
        <v>4487</v>
      </c>
      <c r="I87" s="129">
        <f t="shared" si="55"/>
        <v>8250</v>
      </c>
      <c r="J87" s="129">
        <f t="shared" si="56"/>
        <v>6750</v>
      </c>
      <c r="K87" s="129">
        <f t="shared" si="57"/>
        <v>6900</v>
      </c>
      <c r="L87" s="178">
        <f t="shared" si="58"/>
        <v>4815</v>
      </c>
      <c r="M87" s="129">
        <f t="shared" si="59"/>
        <v>6730.5</v>
      </c>
      <c r="N87" s="129" t="str">
        <f t="shared" si="60"/>
        <v>нет</v>
      </c>
      <c r="O87" s="21"/>
      <c r="P87"/>
      <c r="Q87"/>
      <c r="R87" s="61"/>
      <c r="S87" s="61"/>
      <c r="T87" s="61"/>
      <c r="U87" s="61"/>
      <c r="V87" s="61"/>
      <c r="W87" s="61"/>
      <c r="X87" s="61"/>
      <c r="Y87" s="61"/>
      <c r="Z87" s="61"/>
      <c r="AA87" s="145"/>
      <c r="AB87" s="145"/>
      <c r="AC87" s="145"/>
      <c r="AD87" s="145"/>
      <c r="AE87" s="145"/>
    </row>
    <row r="88" spans="1:31" s="128" customFormat="1" x14ac:dyDescent="0.2">
      <c r="A88" s="180">
        <f t="shared" si="61"/>
        <v>71</v>
      </c>
      <c r="B88" s="143" t="s">
        <v>434</v>
      </c>
      <c r="C88" s="141">
        <v>4</v>
      </c>
      <c r="D88" s="108">
        <f t="shared" si="50"/>
        <v>4500</v>
      </c>
      <c r="E88" s="108">
        <f t="shared" si="51"/>
        <v>4600</v>
      </c>
      <c r="F88" s="108">
        <f t="shared" si="52"/>
        <v>5500</v>
      </c>
      <c r="G88" s="168">
        <f t="shared" si="53"/>
        <v>3210</v>
      </c>
      <c r="H88" s="108">
        <f t="shared" si="54"/>
        <v>4487</v>
      </c>
      <c r="I88" s="129">
        <f t="shared" si="55"/>
        <v>8250</v>
      </c>
      <c r="J88" s="129">
        <f t="shared" si="56"/>
        <v>6750</v>
      </c>
      <c r="K88" s="129">
        <f t="shared" si="57"/>
        <v>6900</v>
      </c>
      <c r="L88" s="178">
        <f t="shared" si="58"/>
        <v>4815</v>
      </c>
      <c r="M88" s="129">
        <f t="shared" si="59"/>
        <v>6730.5</v>
      </c>
      <c r="N88" s="129" t="str">
        <f t="shared" si="60"/>
        <v>нет</v>
      </c>
      <c r="O88" s="21"/>
      <c r="P88"/>
      <c r="Q88"/>
      <c r="R88" s="61"/>
      <c r="S88" s="61"/>
      <c r="T88" s="61"/>
      <c r="U88" s="61"/>
      <c r="V88" s="61"/>
      <c r="W88" s="61"/>
      <c r="X88" s="61"/>
      <c r="Y88" s="61"/>
      <c r="Z88" s="61"/>
      <c r="AA88" s="145"/>
      <c r="AB88" s="145"/>
      <c r="AC88" s="145"/>
      <c r="AD88" s="145"/>
      <c r="AE88" s="145"/>
    </row>
    <row r="89" spans="1:31" s="128" customFormat="1" x14ac:dyDescent="0.2">
      <c r="A89" s="180">
        <f t="shared" si="61"/>
        <v>72</v>
      </c>
      <c r="B89" s="143" t="s">
        <v>419</v>
      </c>
      <c r="C89" s="141">
        <v>4</v>
      </c>
      <c r="D89" s="108">
        <f t="shared" si="50"/>
        <v>4500</v>
      </c>
      <c r="E89" s="108">
        <f t="shared" si="51"/>
        <v>4600</v>
      </c>
      <c r="F89" s="108">
        <f t="shared" si="52"/>
        <v>5500</v>
      </c>
      <c r="G89" s="168">
        <f t="shared" si="53"/>
        <v>3210</v>
      </c>
      <c r="H89" s="108">
        <f t="shared" si="54"/>
        <v>4487</v>
      </c>
      <c r="I89" s="129">
        <f t="shared" si="55"/>
        <v>8250</v>
      </c>
      <c r="J89" s="129">
        <f t="shared" si="56"/>
        <v>6750</v>
      </c>
      <c r="K89" s="129">
        <f t="shared" si="57"/>
        <v>6900</v>
      </c>
      <c r="L89" s="178">
        <f t="shared" si="58"/>
        <v>4815</v>
      </c>
      <c r="M89" s="129">
        <f t="shared" si="59"/>
        <v>6730.5</v>
      </c>
      <c r="N89" s="129" t="str">
        <f t="shared" si="60"/>
        <v>нет</v>
      </c>
      <c r="O89" s="21"/>
      <c r="P89"/>
      <c r="Q89"/>
      <c r="R89" s="61"/>
      <c r="S89" s="61"/>
      <c r="T89" s="61"/>
      <c r="U89" s="61"/>
      <c r="V89" s="61"/>
      <c r="W89" s="61"/>
      <c r="X89" s="61"/>
      <c r="Y89" s="61"/>
      <c r="Z89" s="61"/>
      <c r="AA89" s="145"/>
      <c r="AB89" s="145"/>
      <c r="AC89" s="145"/>
      <c r="AD89" s="145"/>
      <c r="AE89" s="145"/>
    </row>
    <row r="90" spans="1:31" s="128" customFormat="1" x14ac:dyDescent="0.2">
      <c r="A90" s="180">
        <f t="shared" si="61"/>
        <v>73</v>
      </c>
      <c r="B90" s="143" t="s">
        <v>420</v>
      </c>
      <c r="C90" s="141">
        <v>4</v>
      </c>
      <c r="D90" s="108">
        <f t="shared" si="50"/>
        <v>4500</v>
      </c>
      <c r="E90" s="108">
        <f t="shared" si="51"/>
        <v>4600</v>
      </c>
      <c r="F90" s="108">
        <f t="shared" si="52"/>
        <v>5500</v>
      </c>
      <c r="G90" s="168">
        <f t="shared" si="53"/>
        <v>3210</v>
      </c>
      <c r="H90" s="108">
        <f t="shared" si="54"/>
        <v>4487</v>
      </c>
      <c r="I90" s="129">
        <f t="shared" si="55"/>
        <v>8250</v>
      </c>
      <c r="J90" s="129">
        <f t="shared" si="56"/>
        <v>6750</v>
      </c>
      <c r="K90" s="129">
        <f t="shared" si="57"/>
        <v>6900</v>
      </c>
      <c r="L90" s="178">
        <f t="shared" si="58"/>
        <v>4815</v>
      </c>
      <c r="M90" s="129">
        <f t="shared" si="59"/>
        <v>6730.5</v>
      </c>
      <c r="N90" s="129" t="str">
        <f t="shared" si="60"/>
        <v>нет</v>
      </c>
      <c r="O90" s="21"/>
      <c r="P90"/>
      <c r="Q90"/>
      <c r="R90" s="61"/>
      <c r="S90" s="61"/>
      <c r="T90" s="61"/>
      <c r="U90" s="61"/>
      <c r="V90" s="61"/>
      <c r="W90" s="61"/>
      <c r="X90" s="61"/>
      <c r="Y90" s="61"/>
      <c r="Z90" s="61"/>
      <c r="AA90" s="145"/>
      <c r="AB90" s="145"/>
      <c r="AC90" s="145"/>
      <c r="AD90" s="145"/>
      <c r="AE90" s="145"/>
    </row>
    <row r="91" spans="1:31" s="128" customFormat="1" x14ac:dyDescent="0.2">
      <c r="A91" s="180">
        <f t="shared" si="61"/>
        <v>74</v>
      </c>
      <c r="B91" s="143" t="s">
        <v>421</v>
      </c>
      <c r="C91" s="141">
        <v>4</v>
      </c>
      <c r="D91" s="108">
        <f t="shared" si="50"/>
        <v>4500</v>
      </c>
      <c r="E91" s="108">
        <f t="shared" si="51"/>
        <v>4600</v>
      </c>
      <c r="F91" s="108">
        <f t="shared" si="52"/>
        <v>5500</v>
      </c>
      <c r="G91" s="168">
        <f t="shared" si="53"/>
        <v>3210</v>
      </c>
      <c r="H91" s="108">
        <f t="shared" si="54"/>
        <v>4487</v>
      </c>
      <c r="I91" s="129">
        <f t="shared" si="55"/>
        <v>8250</v>
      </c>
      <c r="J91" s="129">
        <f t="shared" si="56"/>
        <v>6750</v>
      </c>
      <c r="K91" s="129">
        <f t="shared" si="57"/>
        <v>6900</v>
      </c>
      <c r="L91" s="178">
        <f t="shared" si="58"/>
        <v>4815</v>
      </c>
      <c r="M91" s="129">
        <f t="shared" si="59"/>
        <v>6730.5</v>
      </c>
      <c r="N91" s="129" t="str">
        <f t="shared" si="60"/>
        <v>нет</v>
      </c>
      <c r="O91" s="21"/>
      <c r="P91"/>
      <c r="Q91"/>
      <c r="R91" s="61"/>
      <c r="S91" s="61"/>
      <c r="T91" s="61"/>
      <c r="U91" s="61"/>
      <c r="V91" s="61"/>
      <c r="W91" s="61"/>
      <c r="X91" s="61"/>
      <c r="Y91" s="61"/>
      <c r="Z91" s="61"/>
      <c r="AA91" s="145"/>
      <c r="AB91" s="145"/>
      <c r="AC91" s="145"/>
      <c r="AD91" s="145"/>
      <c r="AE91" s="145"/>
    </row>
    <row r="92" spans="1:31" s="128" customFormat="1" x14ac:dyDescent="0.2">
      <c r="A92" s="180">
        <f t="shared" si="61"/>
        <v>75</v>
      </c>
      <c r="B92" s="143" t="s">
        <v>435</v>
      </c>
      <c r="C92" s="141">
        <v>4</v>
      </c>
      <c r="D92" s="108">
        <f t="shared" si="50"/>
        <v>4500</v>
      </c>
      <c r="E92" s="108">
        <f t="shared" si="51"/>
        <v>4600</v>
      </c>
      <c r="F92" s="108">
        <f t="shared" si="52"/>
        <v>5500</v>
      </c>
      <c r="G92" s="168">
        <f t="shared" si="53"/>
        <v>3210</v>
      </c>
      <c r="H92" s="108">
        <f t="shared" si="54"/>
        <v>4487</v>
      </c>
      <c r="I92" s="129">
        <f t="shared" si="55"/>
        <v>8250</v>
      </c>
      <c r="J92" s="129">
        <f t="shared" si="56"/>
        <v>6750</v>
      </c>
      <c r="K92" s="129">
        <f t="shared" si="57"/>
        <v>6900</v>
      </c>
      <c r="L92" s="178">
        <f t="shared" si="58"/>
        <v>4815</v>
      </c>
      <c r="M92" s="129">
        <f t="shared" si="59"/>
        <v>6730.5</v>
      </c>
      <c r="N92" s="129" t="str">
        <f t="shared" si="60"/>
        <v>нет</v>
      </c>
      <c r="O92" s="21"/>
      <c r="P92"/>
      <c r="Q92"/>
      <c r="R92" s="61"/>
      <c r="S92" s="61"/>
      <c r="T92" s="61"/>
      <c r="U92" s="61"/>
      <c r="V92" s="61"/>
      <c r="W92" s="61"/>
      <c r="X92" s="61"/>
      <c r="Y92" s="61"/>
      <c r="Z92" s="61"/>
      <c r="AA92" s="145"/>
      <c r="AB92" s="145"/>
      <c r="AC92" s="145"/>
      <c r="AD92" s="145"/>
      <c r="AE92" s="145"/>
    </row>
    <row r="93" spans="1:31" s="128" customFormat="1" x14ac:dyDescent="0.2">
      <c r="A93" s="180">
        <f t="shared" si="61"/>
        <v>76</v>
      </c>
      <c r="B93" s="141" t="s">
        <v>441</v>
      </c>
      <c r="C93" s="141">
        <v>4</v>
      </c>
      <c r="D93" s="128">
        <f t="shared" si="50"/>
        <v>4500</v>
      </c>
      <c r="E93" s="128">
        <f t="shared" si="51"/>
        <v>4600</v>
      </c>
      <c r="F93" s="128">
        <f t="shared" si="52"/>
        <v>5500</v>
      </c>
      <c r="G93" s="168">
        <f t="shared" si="53"/>
        <v>3210</v>
      </c>
      <c r="H93" s="128">
        <f t="shared" si="54"/>
        <v>4487</v>
      </c>
      <c r="I93" s="127">
        <f t="shared" si="55"/>
        <v>8250</v>
      </c>
      <c r="J93" s="127">
        <f t="shared" si="56"/>
        <v>6750</v>
      </c>
      <c r="K93" s="127">
        <f t="shared" si="57"/>
        <v>6900</v>
      </c>
      <c r="L93" s="178">
        <f t="shared" si="58"/>
        <v>4815</v>
      </c>
      <c r="M93" s="127">
        <f t="shared" si="59"/>
        <v>6730.5</v>
      </c>
      <c r="N93" s="127" t="str">
        <f t="shared" si="60"/>
        <v>нет</v>
      </c>
      <c r="O93" s="21"/>
      <c r="P93"/>
      <c r="Q93"/>
      <c r="R93" s="61"/>
      <c r="S93" s="61"/>
      <c r="T93" s="61"/>
      <c r="U93" s="61"/>
      <c r="V93" s="61"/>
      <c r="W93" s="61"/>
      <c r="X93" s="61"/>
      <c r="Y93" s="61"/>
      <c r="Z93" s="61"/>
      <c r="AA93" s="145"/>
      <c r="AB93" s="145"/>
      <c r="AC93" s="145"/>
      <c r="AD93" s="145"/>
      <c r="AE93" s="145"/>
    </row>
    <row r="94" spans="1:31" s="128" customFormat="1" x14ac:dyDescent="0.2">
      <c r="A94" s="180">
        <f t="shared" si="61"/>
        <v>77</v>
      </c>
      <c r="B94" s="141" t="s">
        <v>444</v>
      </c>
      <c r="C94" s="141">
        <v>4</v>
      </c>
      <c r="D94" s="128">
        <f t="shared" si="50"/>
        <v>4500</v>
      </c>
      <c r="E94" s="128">
        <f t="shared" si="51"/>
        <v>4600</v>
      </c>
      <c r="F94" s="128">
        <f t="shared" si="52"/>
        <v>5500</v>
      </c>
      <c r="G94" s="168">
        <f t="shared" si="53"/>
        <v>3210</v>
      </c>
      <c r="H94" s="128">
        <f t="shared" si="54"/>
        <v>4487</v>
      </c>
      <c r="I94" s="127">
        <f t="shared" si="55"/>
        <v>8250</v>
      </c>
      <c r="J94" s="127">
        <f t="shared" si="56"/>
        <v>6750</v>
      </c>
      <c r="K94" s="127">
        <f t="shared" si="57"/>
        <v>6900</v>
      </c>
      <c r="L94" s="178">
        <f t="shared" si="58"/>
        <v>4815</v>
      </c>
      <c r="M94" s="127">
        <f t="shared" si="59"/>
        <v>6730.5</v>
      </c>
      <c r="N94" s="127" t="str">
        <f t="shared" si="60"/>
        <v>нет</v>
      </c>
      <c r="O94" s="21"/>
      <c r="P94"/>
      <c r="Q94"/>
      <c r="R94" s="61"/>
      <c r="S94" s="61"/>
      <c r="T94" s="61"/>
      <c r="U94" s="61"/>
      <c r="V94" s="61"/>
      <c r="W94" s="61"/>
      <c r="X94" s="61"/>
      <c r="Y94" s="61"/>
      <c r="Z94" s="61"/>
      <c r="AA94" s="145"/>
      <c r="AB94" s="145"/>
      <c r="AC94" s="145"/>
      <c r="AD94" s="145"/>
      <c r="AE94" s="145"/>
    </row>
    <row r="95" spans="1:31" s="128" customFormat="1" x14ac:dyDescent="0.2">
      <c r="A95" s="180">
        <f t="shared" si="61"/>
        <v>78</v>
      </c>
      <c r="B95" s="141" t="s">
        <v>390</v>
      </c>
      <c r="C95" s="141">
        <v>4</v>
      </c>
      <c r="D95" s="128">
        <f t="shared" si="50"/>
        <v>4500</v>
      </c>
      <c r="E95" s="128">
        <f t="shared" si="51"/>
        <v>4600</v>
      </c>
      <c r="F95" s="128">
        <f t="shared" si="52"/>
        <v>5500</v>
      </c>
      <c r="G95" s="168">
        <f t="shared" si="53"/>
        <v>3210</v>
      </c>
      <c r="H95" s="128">
        <f t="shared" si="54"/>
        <v>4487</v>
      </c>
      <c r="I95" s="127">
        <f t="shared" si="55"/>
        <v>8250</v>
      </c>
      <c r="J95" s="127">
        <f t="shared" si="56"/>
        <v>6750</v>
      </c>
      <c r="K95" s="127">
        <f t="shared" si="57"/>
        <v>6900</v>
      </c>
      <c r="L95" s="178">
        <f t="shared" si="58"/>
        <v>4815</v>
      </c>
      <c r="M95" s="127">
        <f t="shared" si="59"/>
        <v>6730.5</v>
      </c>
      <c r="N95" s="127" t="str">
        <f t="shared" si="60"/>
        <v>нет</v>
      </c>
      <c r="O95" s="21"/>
      <c r="P95"/>
      <c r="Q95"/>
      <c r="R95" s="61"/>
      <c r="S95" s="61"/>
      <c r="T95" s="61"/>
      <c r="U95" s="61"/>
      <c r="V95" s="61"/>
      <c r="W95" s="61"/>
      <c r="X95" s="61"/>
      <c r="Y95" s="61"/>
      <c r="Z95" s="61"/>
      <c r="AA95" s="145"/>
      <c r="AB95" s="145"/>
      <c r="AC95" s="145"/>
      <c r="AD95" s="145"/>
      <c r="AE95" s="145"/>
    </row>
    <row r="96" spans="1:31" s="128" customFormat="1" x14ac:dyDescent="0.2">
      <c r="A96" s="180">
        <f t="shared" si="61"/>
        <v>79</v>
      </c>
      <c r="B96" s="141" t="s">
        <v>402</v>
      </c>
      <c r="C96" s="141">
        <v>4</v>
      </c>
      <c r="D96" s="128">
        <f t="shared" si="50"/>
        <v>4500</v>
      </c>
      <c r="E96" s="128">
        <f t="shared" si="51"/>
        <v>4600</v>
      </c>
      <c r="F96" s="128">
        <f t="shared" si="52"/>
        <v>5500</v>
      </c>
      <c r="G96" s="168">
        <f t="shared" si="53"/>
        <v>3210</v>
      </c>
      <c r="H96" s="128">
        <f t="shared" si="54"/>
        <v>4487</v>
      </c>
      <c r="I96" s="127">
        <f t="shared" si="55"/>
        <v>8250</v>
      </c>
      <c r="J96" s="127">
        <f t="shared" si="56"/>
        <v>6750</v>
      </c>
      <c r="K96" s="127">
        <f t="shared" si="57"/>
        <v>6900</v>
      </c>
      <c r="L96" s="178">
        <f t="shared" si="58"/>
        <v>4815</v>
      </c>
      <c r="M96" s="127">
        <f t="shared" si="59"/>
        <v>6730.5</v>
      </c>
      <c r="N96" s="127" t="str">
        <f t="shared" si="60"/>
        <v>нет</v>
      </c>
      <c r="O96" s="21"/>
      <c r="P96"/>
      <c r="Q96"/>
      <c r="R96" s="61"/>
      <c r="S96" s="61"/>
      <c r="T96" s="61"/>
      <c r="U96" s="61"/>
      <c r="V96" s="61"/>
      <c r="W96" s="61"/>
      <c r="X96" s="61"/>
      <c r="Y96" s="61"/>
      <c r="Z96" s="61"/>
      <c r="AA96" s="145"/>
      <c r="AB96" s="145"/>
      <c r="AC96" s="145"/>
      <c r="AD96" s="145"/>
      <c r="AE96" s="145"/>
    </row>
    <row r="97" spans="1:31" s="128" customFormat="1" x14ac:dyDescent="0.2">
      <c r="A97" s="180">
        <f t="shared" si="61"/>
        <v>80</v>
      </c>
      <c r="B97" s="141" t="s">
        <v>397</v>
      </c>
      <c r="C97" s="141">
        <v>4</v>
      </c>
      <c r="D97" s="128">
        <f t="shared" si="50"/>
        <v>4500</v>
      </c>
      <c r="E97" s="128">
        <f t="shared" si="51"/>
        <v>4600</v>
      </c>
      <c r="F97" s="128">
        <f t="shared" si="52"/>
        <v>5500</v>
      </c>
      <c r="G97" s="168">
        <f t="shared" si="53"/>
        <v>3210</v>
      </c>
      <c r="H97" s="128">
        <f t="shared" si="54"/>
        <v>4487</v>
      </c>
      <c r="I97" s="127">
        <f t="shared" si="55"/>
        <v>8250</v>
      </c>
      <c r="J97" s="127">
        <f t="shared" si="56"/>
        <v>6750</v>
      </c>
      <c r="K97" s="127">
        <f t="shared" si="57"/>
        <v>6900</v>
      </c>
      <c r="L97" s="178">
        <f t="shared" si="58"/>
        <v>4815</v>
      </c>
      <c r="M97" s="127">
        <f t="shared" si="59"/>
        <v>6730.5</v>
      </c>
      <c r="N97" s="127" t="str">
        <f t="shared" si="60"/>
        <v>нет</v>
      </c>
      <c r="O97" s="21"/>
      <c r="P97"/>
      <c r="Q97"/>
      <c r="R97" s="61"/>
      <c r="S97" s="61"/>
      <c r="T97" s="61"/>
      <c r="U97" s="61"/>
      <c r="V97" s="61"/>
      <c r="W97" s="61"/>
      <c r="X97" s="61"/>
      <c r="Y97" s="61"/>
      <c r="Z97" s="61"/>
      <c r="AA97" s="145"/>
      <c r="AB97" s="145"/>
      <c r="AC97" s="145"/>
      <c r="AD97" s="145"/>
      <c r="AE97" s="145"/>
    </row>
    <row r="98" spans="1:31" s="130" customFormat="1" x14ac:dyDescent="0.2">
      <c r="A98" s="180">
        <f t="shared" si="61"/>
        <v>81</v>
      </c>
      <c r="B98" s="141" t="s">
        <v>398</v>
      </c>
      <c r="C98" s="141">
        <v>2</v>
      </c>
      <c r="D98" s="128">
        <f t="shared" si="50"/>
        <v>3400</v>
      </c>
      <c r="E98" s="128">
        <f t="shared" si="51"/>
        <v>3500</v>
      </c>
      <c r="F98" s="128">
        <f t="shared" si="52"/>
        <v>4170</v>
      </c>
      <c r="G98" s="168">
        <f t="shared" si="53"/>
        <v>3043</v>
      </c>
      <c r="H98" s="128">
        <f t="shared" si="54"/>
        <v>4187</v>
      </c>
      <c r="I98" s="127">
        <f t="shared" si="55"/>
        <v>6255</v>
      </c>
      <c r="J98" s="127">
        <f t="shared" si="56"/>
        <v>5100</v>
      </c>
      <c r="K98" s="127">
        <f t="shared" si="57"/>
        <v>5250</v>
      </c>
      <c r="L98" s="178">
        <f t="shared" si="58"/>
        <v>4564.5</v>
      </c>
      <c r="M98" s="127">
        <f t="shared" si="59"/>
        <v>6280.5</v>
      </c>
      <c r="N98" s="127" t="str">
        <f t="shared" si="60"/>
        <v>нет</v>
      </c>
      <c r="O98" s="21"/>
      <c r="P98"/>
      <c r="Q98"/>
      <c r="R98" s="61"/>
      <c r="S98" s="61"/>
      <c r="T98" s="61"/>
      <c r="U98" s="61"/>
      <c r="V98" s="61"/>
      <c r="W98" s="61"/>
      <c r="X98" s="61"/>
      <c r="Y98" s="61"/>
      <c r="Z98" s="61"/>
      <c r="AA98" s="145"/>
      <c r="AB98" s="145"/>
      <c r="AC98" s="145"/>
      <c r="AD98" s="145"/>
      <c r="AE98" s="145"/>
    </row>
    <row r="99" spans="1:31" s="130" customFormat="1" x14ac:dyDescent="0.2">
      <c r="A99" s="180">
        <f t="shared" si="61"/>
        <v>82</v>
      </c>
      <c r="B99" s="141" t="s">
        <v>212</v>
      </c>
      <c r="C99" s="141">
        <v>4</v>
      </c>
      <c r="D99" s="128">
        <f t="shared" si="50"/>
        <v>4500</v>
      </c>
      <c r="E99" s="128">
        <f t="shared" si="51"/>
        <v>4600</v>
      </c>
      <c r="F99" s="128">
        <f t="shared" si="52"/>
        <v>5500</v>
      </c>
      <c r="G99" s="168">
        <f t="shared" si="53"/>
        <v>3210</v>
      </c>
      <c r="H99" s="128">
        <f t="shared" si="54"/>
        <v>4487</v>
      </c>
      <c r="I99" s="127">
        <f t="shared" si="55"/>
        <v>8250</v>
      </c>
      <c r="J99" s="127">
        <f t="shared" si="56"/>
        <v>6750</v>
      </c>
      <c r="K99" s="127">
        <f t="shared" si="57"/>
        <v>6900</v>
      </c>
      <c r="L99" s="178">
        <f t="shared" si="58"/>
        <v>4815</v>
      </c>
      <c r="M99" s="127">
        <f t="shared" si="59"/>
        <v>6730.5</v>
      </c>
      <c r="N99" s="127" t="str">
        <f t="shared" si="60"/>
        <v>нет</v>
      </c>
      <c r="O99" s="21"/>
      <c r="P99"/>
      <c r="Q99"/>
      <c r="R99" s="61"/>
      <c r="S99" s="61"/>
      <c r="T99" s="61"/>
      <c r="U99" s="61"/>
      <c r="V99" s="61"/>
      <c r="W99" s="61"/>
      <c r="X99" s="61"/>
      <c r="Y99" s="61"/>
      <c r="Z99" s="61"/>
      <c r="AA99" s="145"/>
      <c r="AB99" s="145"/>
      <c r="AC99" s="145"/>
      <c r="AD99" s="145"/>
      <c r="AE99" s="145"/>
    </row>
    <row r="100" spans="1:31" s="130" customFormat="1" x14ac:dyDescent="0.2">
      <c r="A100" s="180">
        <f t="shared" si="61"/>
        <v>83</v>
      </c>
      <c r="B100" s="141" t="s">
        <v>213</v>
      </c>
      <c r="C100" s="141">
        <v>4</v>
      </c>
      <c r="D100" s="128">
        <f t="shared" si="50"/>
        <v>4500</v>
      </c>
      <c r="E100" s="128">
        <f t="shared" si="51"/>
        <v>4600</v>
      </c>
      <c r="F100" s="128">
        <f t="shared" si="52"/>
        <v>5500</v>
      </c>
      <c r="G100" s="168">
        <f t="shared" si="53"/>
        <v>3210</v>
      </c>
      <c r="H100" s="128">
        <f t="shared" si="54"/>
        <v>4487</v>
      </c>
      <c r="I100" s="127">
        <f t="shared" si="55"/>
        <v>8250</v>
      </c>
      <c r="J100" s="127">
        <f t="shared" si="56"/>
        <v>6750</v>
      </c>
      <c r="K100" s="127">
        <f t="shared" si="57"/>
        <v>6900</v>
      </c>
      <c r="L100" s="178">
        <f t="shared" si="58"/>
        <v>4815</v>
      </c>
      <c r="M100" s="127">
        <f t="shared" si="59"/>
        <v>6730.5</v>
      </c>
      <c r="N100" s="127" t="str">
        <f t="shared" si="60"/>
        <v>нет</v>
      </c>
      <c r="O100" s="21"/>
      <c r="P100"/>
      <c r="Q100"/>
      <c r="R100" s="61"/>
      <c r="S100" s="61"/>
      <c r="T100" s="61"/>
      <c r="U100" s="61"/>
      <c r="V100" s="61"/>
      <c r="W100" s="61"/>
      <c r="X100" s="61"/>
      <c r="Y100" s="61"/>
      <c r="Z100" s="61"/>
      <c r="AA100" s="145"/>
      <c r="AB100" s="145"/>
      <c r="AC100" s="145"/>
      <c r="AD100" s="145"/>
      <c r="AE100" s="145"/>
    </row>
    <row r="101" spans="1:31" s="130" customFormat="1" x14ac:dyDescent="0.2">
      <c r="A101" s="180">
        <f t="shared" si="61"/>
        <v>84</v>
      </c>
      <c r="B101" s="141" t="s">
        <v>442</v>
      </c>
      <c r="C101" s="141">
        <v>4</v>
      </c>
      <c r="D101" s="128">
        <f t="shared" si="50"/>
        <v>4500</v>
      </c>
      <c r="E101" s="128">
        <f t="shared" si="51"/>
        <v>4600</v>
      </c>
      <c r="F101" s="128">
        <f t="shared" si="52"/>
        <v>5500</v>
      </c>
      <c r="G101" s="168">
        <f t="shared" si="53"/>
        <v>3210</v>
      </c>
      <c r="H101" s="128">
        <f t="shared" si="54"/>
        <v>4487</v>
      </c>
      <c r="I101" s="127">
        <f t="shared" si="55"/>
        <v>8250</v>
      </c>
      <c r="J101" s="127">
        <f t="shared" si="56"/>
        <v>6750</v>
      </c>
      <c r="K101" s="127">
        <f t="shared" si="57"/>
        <v>6900</v>
      </c>
      <c r="L101" s="178">
        <f t="shared" si="58"/>
        <v>4815</v>
      </c>
      <c r="M101" s="127">
        <f t="shared" si="59"/>
        <v>6730.5</v>
      </c>
      <c r="N101" s="127" t="str">
        <f t="shared" si="60"/>
        <v>нет</v>
      </c>
      <c r="O101" s="21"/>
      <c r="P101"/>
      <c r="Q101"/>
      <c r="R101" s="61"/>
      <c r="S101" s="61"/>
      <c r="T101" s="61"/>
      <c r="U101" s="61"/>
      <c r="V101" s="61"/>
      <c r="W101" s="61"/>
      <c r="X101" s="61"/>
      <c r="Y101" s="61"/>
      <c r="Z101" s="61"/>
      <c r="AA101" s="145"/>
      <c r="AB101" s="145"/>
      <c r="AC101" s="145"/>
      <c r="AD101" s="145"/>
      <c r="AE101" s="145"/>
    </row>
    <row r="102" spans="1:31" s="130" customFormat="1" x14ac:dyDescent="0.2">
      <c r="A102" s="180">
        <f t="shared" si="61"/>
        <v>85</v>
      </c>
      <c r="B102" s="141" t="s">
        <v>391</v>
      </c>
      <c r="C102" s="141">
        <v>4</v>
      </c>
      <c r="D102" s="128">
        <f t="shared" si="50"/>
        <v>4500</v>
      </c>
      <c r="E102" s="128">
        <f t="shared" si="51"/>
        <v>4600</v>
      </c>
      <c r="F102" s="128">
        <f t="shared" si="52"/>
        <v>5500</v>
      </c>
      <c r="G102" s="168">
        <f t="shared" si="53"/>
        <v>3210</v>
      </c>
      <c r="H102" s="128">
        <f t="shared" si="54"/>
        <v>4487</v>
      </c>
      <c r="I102" s="127">
        <f t="shared" si="55"/>
        <v>8250</v>
      </c>
      <c r="J102" s="127">
        <f t="shared" si="56"/>
        <v>6750</v>
      </c>
      <c r="K102" s="127">
        <f t="shared" si="57"/>
        <v>6900</v>
      </c>
      <c r="L102" s="178">
        <f t="shared" si="58"/>
        <v>4815</v>
      </c>
      <c r="M102" s="127">
        <f t="shared" si="59"/>
        <v>6730.5</v>
      </c>
      <c r="N102" s="127" t="str">
        <f t="shared" si="60"/>
        <v>нет</v>
      </c>
      <c r="O102" s="21"/>
      <c r="P102"/>
      <c r="Q102"/>
      <c r="R102" s="61"/>
      <c r="S102" s="61"/>
      <c r="T102" s="61"/>
      <c r="U102" s="61"/>
      <c r="V102" s="61"/>
      <c r="W102" s="61"/>
      <c r="X102" s="61"/>
      <c r="Y102" s="61"/>
      <c r="Z102" s="61"/>
      <c r="AA102" s="145"/>
      <c r="AB102" s="145"/>
      <c r="AC102" s="145"/>
      <c r="AD102" s="145"/>
      <c r="AE102" s="145"/>
    </row>
    <row r="103" spans="1:31" s="130" customFormat="1" x14ac:dyDescent="0.2">
      <c r="A103" s="180">
        <f t="shared" si="61"/>
        <v>86</v>
      </c>
      <c r="B103" s="141" t="s">
        <v>446</v>
      </c>
      <c r="C103" s="141">
        <v>4</v>
      </c>
      <c r="D103" s="128">
        <f t="shared" si="50"/>
        <v>4500</v>
      </c>
      <c r="E103" s="128">
        <f t="shared" si="51"/>
        <v>4600</v>
      </c>
      <c r="F103" s="128">
        <f t="shared" si="52"/>
        <v>5500</v>
      </c>
      <c r="G103" s="168">
        <f t="shared" si="53"/>
        <v>3210</v>
      </c>
      <c r="H103" s="128">
        <f t="shared" si="54"/>
        <v>4487</v>
      </c>
      <c r="I103" s="127">
        <f t="shared" si="55"/>
        <v>8250</v>
      </c>
      <c r="J103" s="127">
        <f t="shared" si="56"/>
        <v>6750</v>
      </c>
      <c r="K103" s="127">
        <f t="shared" si="57"/>
        <v>6900</v>
      </c>
      <c r="L103" s="178">
        <f t="shared" si="58"/>
        <v>4815</v>
      </c>
      <c r="M103" s="127">
        <f t="shared" si="59"/>
        <v>6730.5</v>
      </c>
      <c r="N103" s="127" t="str">
        <f t="shared" si="60"/>
        <v>нет</v>
      </c>
      <c r="O103" s="21"/>
      <c r="P103"/>
      <c r="Q103"/>
      <c r="R103" s="61"/>
      <c r="S103" s="61"/>
      <c r="T103" s="61"/>
      <c r="U103" s="61"/>
      <c r="V103" s="61"/>
      <c r="W103" s="61"/>
      <c r="X103" s="61"/>
      <c r="Y103" s="61"/>
      <c r="Z103" s="61"/>
      <c r="AA103" s="145"/>
      <c r="AB103" s="145"/>
      <c r="AC103" s="145"/>
      <c r="AD103" s="145"/>
      <c r="AE103" s="145"/>
    </row>
    <row r="104" spans="1:31" s="130" customFormat="1" x14ac:dyDescent="0.2">
      <c r="A104" s="180">
        <f t="shared" si="61"/>
        <v>87</v>
      </c>
      <c r="B104" s="141" t="s">
        <v>447</v>
      </c>
      <c r="C104" s="141">
        <v>2</v>
      </c>
      <c r="D104" s="128">
        <f t="shared" si="50"/>
        <v>3400</v>
      </c>
      <c r="E104" s="128">
        <f t="shared" si="51"/>
        <v>3500</v>
      </c>
      <c r="F104" s="128">
        <f t="shared" si="52"/>
        <v>4170</v>
      </c>
      <c r="G104" s="168">
        <f t="shared" si="53"/>
        <v>3043</v>
      </c>
      <c r="H104" s="128">
        <f t="shared" si="54"/>
        <v>4187</v>
      </c>
      <c r="I104" s="127">
        <f t="shared" si="55"/>
        <v>6255</v>
      </c>
      <c r="J104" s="127">
        <f t="shared" si="56"/>
        <v>5100</v>
      </c>
      <c r="K104" s="127">
        <f t="shared" si="57"/>
        <v>5250</v>
      </c>
      <c r="L104" s="178">
        <f t="shared" si="58"/>
        <v>4564.5</v>
      </c>
      <c r="M104" s="127">
        <f t="shared" si="59"/>
        <v>6280.5</v>
      </c>
      <c r="N104" s="127" t="str">
        <f t="shared" si="60"/>
        <v>нет</v>
      </c>
      <c r="O104" s="21"/>
      <c r="P104"/>
      <c r="Q104"/>
      <c r="R104" s="61"/>
      <c r="S104" s="61"/>
      <c r="T104" s="61"/>
      <c r="U104" s="61"/>
      <c r="V104" s="61"/>
      <c r="W104" s="61"/>
      <c r="X104" s="61"/>
      <c r="Y104" s="61"/>
      <c r="Z104" s="61"/>
      <c r="AA104" s="145"/>
      <c r="AB104" s="145"/>
      <c r="AC104" s="145"/>
      <c r="AD104" s="145"/>
      <c r="AE104" s="145"/>
    </row>
    <row r="105" spans="1:31" s="130" customFormat="1" x14ac:dyDescent="0.2">
      <c r="A105" s="180">
        <f t="shared" si="61"/>
        <v>88</v>
      </c>
      <c r="B105" s="141" t="s">
        <v>463</v>
      </c>
      <c r="C105" s="141">
        <v>2</v>
      </c>
      <c r="D105" s="128">
        <f t="shared" si="50"/>
        <v>3400</v>
      </c>
      <c r="E105" s="128">
        <f t="shared" si="51"/>
        <v>3500</v>
      </c>
      <c r="F105" s="128">
        <f t="shared" si="52"/>
        <v>4170</v>
      </c>
      <c r="G105" s="168">
        <f t="shared" si="53"/>
        <v>3043</v>
      </c>
      <c r="H105" s="128">
        <f t="shared" si="54"/>
        <v>4187</v>
      </c>
      <c r="I105" s="127">
        <f t="shared" si="55"/>
        <v>6255</v>
      </c>
      <c r="J105" s="127">
        <f t="shared" si="56"/>
        <v>5100</v>
      </c>
      <c r="K105" s="127">
        <f t="shared" si="57"/>
        <v>5250</v>
      </c>
      <c r="L105" s="178">
        <f t="shared" si="58"/>
        <v>4564.5</v>
      </c>
      <c r="M105" s="127">
        <f t="shared" si="59"/>
        <v>6280.5</v>
      </c>
      <c r="N105" s="127" t="str">
        <f t="shared" si="60"/>
        <v>нет</v>
      </c>
      <c r="O105" s="21"/>
      <c r="P105"/>
      <c r="Q105"/>
      <c r="R105" s="61"/>
      <c r="S105" s="61"/>
      <c r="T105" s="61"/>
      <c r="U105" s="61"/>
      <c r="V105" s="61"/>
      <c r="W105" s="61"/>
      <c r="X105" s="61"/>
      <c r="Y105" s="61"/>
      <c r="Z105" s="61"/>
      <c r="AA105" s="145"/>
      <c r="AB105" s="145"/>
      <c r="AC105" s="145"/>
      <c r="AD105" s="145"/>
      <c r="AE105" s="145"/>
    </row>
    <row r="106" spans="1:31" s="130" customFormat="1" x14ac:dyDescent="0.2">
      <c r="A106" s="180">
        <f t="shared" si="61"/>
        <v>89</v>
      </c>
      <c r="B106" s="141" t="s">
        <v>436</v>
      </c>
      <c r="C106" s="141">
        <v>4</v>
      </c>
      <c r="D106" s="128">
        <f t="shared" si="50"/>
        <v>4500</v>
      </c>
      <c r="E106" s="128">
        <f t="shared" si="51"/>
        <v>4600</v>
      </c>
      <c r="F106" s="128">
        <f t="shared" si="52"/>
        <v>5500</v>
      </c>
      <c r="G106" s="168">
        <f t="shared" si="53"/>
        <v>3210</v>
      </c>
      <c r="H106" s="128">
        <f t="shared" si="54"/>
        <v>4487</v>
      </c>
      <c r="I106" s="127">
        <f t="shared" si="55"/>
        <v>8250</v>
      </c>
      <c r="J106" s="127">
        <f t="shared" si="56"/>
        <v>6750</v>
      </c>
      <c r="K106" s="127">
        <f t="shared" si="57"/>
        <v>6900</v>
      </c>
      <c r="L106" s="178">
        <f t="shared" si="58"/>
        <v>4815</v>
      </c>
      <c r="M106" s="127">
        <f t="shared" si="59"/>
        <v>6730.5</v>
      </c>
      <c r="N106" s="127" t="str">
        <f t="shared" si="60"/>
        <v>нет</v>
      </c>
      <c r="O106" s="21"/>
      <c r="P106"/>
      <c r="Q106"/>
      <c r="R106" s="61"/>
      <c r="S106" s="61"/>
      <c r="T106" s="61"/>
      <c r="U106" s="61"/>
      <c r="V106" s="61"/>
      <c r="W106" s="61"/>
      <c r="X106" s="61"/>
      <c r="Y106" s="61"/>
      <c r="Z106" s="61"/>
      <c r="AA106" s="145"/>
      <c r="AB106" s="145"/>
      <c r="AC106" s="145"/>
      <c r="AD106" s="145"/>
      <c r="AE106" s="145"/>
    </row>
    <row r="107" spans="1:31" s="130" customFormat="1" x14ac:dyDescent="0.2">
      <c r="A107" s="180">
        <f t="shared" si="61"/>
        <v>90</v>
      </c>
      <c r="B107" s="141" t="s">
        <v>448</v>
      </c>
      <c r="C107" s="141">
        <v>4</v>
      </c>
      <c r="D107" s="128">
        <f t="shared" si="50"/>
        <v>4500</v>
      </c>
      <c r="E107" s="128">
        <f t="shared" si="51"/>
        <v>4600</v>
      </c>
      <c r="F107" s="128">
        <f t="shared" si="52"/>
        <v>5500</v>
      </c>
      <c r="G107" s="168">
        <f t="shared" si="53"/>
        <v>3210</v>
      </c>
      <c r="H107" s="128">
        <f t="shared" si="54"/>
        <v>4487</v>
      </c>
      <c r="I107" s="127">
        <f t="shared" si="55"/>
        <v>8250</v>
      </c>
      <c r="J107" s="127">
        <f t="shared" si="56"/>
        <v>6750</v>
      </c>
      <c r="K107" s="127">
        <f t="shared" si="57"/>
        <v>6900</v>
      </c>
      <c r="L107" s="178">
        <f t="shared" si="58"/>
        <v>4815</v>
      </c>
      <c r="M107" s="127">
        <f t="shared" si="59"/>
        <v>6730.5</v>
      </c>
      <c r="N107" s="127" t="str">
        <f t="shared" si="60"/>
        <v>нет</v>
      </c>
      <c r="O107" s="21"/>
      <c r="P107"/>
      <c r="Q107"/>
      <c r="R107" s="61"/>
      <c r="S107" s="61"/>
      <c r="T107" s="61"/>
      <c r="U107" s="61"/>
      <c r="V107" s="61"/>
      <c r="W107" s="61"/>
      <c r="X107" s="61"/>
      <c r="Y107" s="61"/>
      <c r="Z107" s="61"/>
      <c r="AA107" s="145"/>
      <c r="AB107" s="145"/>
      <c r="AC107" s="145"/>
      <c r="AD107" s="145"/>
      <c r="AE107" s="145"/>
    </row>
    <row r="108" spans="1:31" s="130" customFormat="1" x14ac:dyDescent="0.2">
      <c r="A108" s="180">
        <f t="shared" si="61"/>
        <v>91</v>
      </c>
      <c r="B108" s="141" t="s">
        <v>450</v>
      </c>
      <c r="C108" s="141">
        <v>4</v>
      </c>
      <c r="D108" s="128">
        <f t="shared" si="50"/>
        <v>4500</v>
      </c>
      <c r="E108" s="128">
        <f t="shared" si="51"/>
        <v>4600</v>
      </c>
      <c r="F108" s="128">
        <f t="shared" si="52"/>
        <v>5500</v>
      </c>
      <c r="G108" s="168">
        <f t="shared" si="53"/>
        <v>3210</v>
      </c>
      <c r="H108" s="128">
        <f t="shared" si="54"/>
        <v>4487</v>
      </c>
      <c r="I108" s="127">
        <f t="shared" si="55"/>
        <v>8250</v>
      </c>
      <c r="J108" s="127">
        <f t="shared" si="56"/>
        <v>6750</v>
      </c>
      <c r="K108" s="127">
        <f t="shared" si="57"/>
        <v>6900</v>
      </c>
      <c r="L108" s="178">
        <f t="shared" si="58"/>
        <v>4815</v>
      </c>
      <c r="M108" s="127">
        <f t="shared" si="59"/>
        <v>6730.5</v>
      </c>
      <c r="N108" s="127" t="str">
        <f t="shared" si="60"/>
        <v>нет</v>
      </c>
      <c r="O108" s="21"/>
      <c r="P108"/>
      <c r="Q108"/>
      <c r="R108" s="61"/>
      <c r="S108" s="61"/>
      <c r="T108" s="61"/>
      <c r="U108" s="61"/>
      <c r="V108" s="61"/>
      <c r="W108" s="61"/>
      <c r="X108" s="61"/>
      <c r="Y108" s="61"/>
      <c r="Z108" s="61"/>
      <c r="AA108" s="145"/>
      <c r="AB108" s="145"/>
      <c r="AC108" s="145"/>
      <c r="AD108" s="145"/>
      <c r="AE108" s="145"/>
    </row>
    <row r="109" spans="1:31" s="130" customFormat="1" x14ac:dyDescent="0.2">
      <c r="A109" s="180">
        <f t="shared" si="61"/>
        <v>92</v>
      </c>
      <c r="B109" s="141" t="s">
        <v>451</v>
      </c>
      <c r="C109" s="141">
        <v>4</v>
      </c>
      <c r="D109" s="128">
        <f t="shared" si="50"/>
        <v>4500</v>
      </c>
      <c r="E109" s="128">
        <f t="shared" si="51"/>
        <v>4600</v>
      </c>
      <c r="F109" s="128">
        <f t="shared" si="52"/>
        <v>5500</v>
      </c>
      <c r="G109" s="168">
        <f t="shared" si="53"/>
        <v>3210</v>
      </c>
      <c r="H109" s="128">
        <f t="shared" si="54"/>
        <v>4487</v>
      </c>
      <c r="I109" s="127">
        <f t="shared" si="55"/>
        <v>8250</v>
      </c>
      <c r="J109" s="127">
        <f t="shared" si="56"/>
        <v>6750</v>
      </c>
      <c r="K109" s="127">
        <f t="shared" si="57"/>
        <v>6900</v>
      </c>
      <c r="L109" s="178">
        <f t="shared" si="58"/>
        <v>4815</v>
      </c>
      <c r="M109" s="127">
        <f t="shared" si="59"/>
        <v>6730.5</v>
      </c>
      <c r="N109" s="127" t="str">
        <f t="shared" si="60"/>
        <v>нет</v>
      </c>
      <c r="O109" s="21"/>
      <c r="P109"/>
      <c r="Q109"/>
      <c r="R109" s="61"/>
      <c r="S109" s="61"/>
      <c r="T109" s="61"/>
      <c r="U109" s="61"/>
      <c r="V109" s="61"/>
      <c r="W109" s="61"/>
      <c r="X109" s="61"/>
      <c r="Y109" s="61"/>
      <c r="Z109" s="61"/>
      <c r="AA109" s="145"/>
      <c r="AB109" s="145"/>
      <c r="AC109" s="145"/>
      <c r="AD109" s="145"/>
      <c r="AE109" s="145"/>
    </row>
    <row r="110" spans="1:31" s="130" customFormat="1" x14ac:dyDescent="0.2">
      <c r="A110" s="180">
        <f t="shared" si="61"/>
        <v>93</v>
      </c>
      <c r="B110" s="141" t="s">
        <v>403</v>
      </c>
      <c r="C110" s="141">
        <v>4</v>
      </c>
      <c r="D110" s="128">
        <f t="shared" si="50"/>
        <v>4500</v>
      </c>
      <c r="E110" s="128">
        <f t="shared" si="51"/>
        <v>4600</v>
      </c>
      <c r="F110" s="128">
        <f t="shared" si="52"/>
        <v>5500</v>
      </c>
      <c r="G110" s="168">
        <f t="shared" si="53"/>
        <v>3210</v>
      </c>
      <c r="H110" s="128">
        <f t="shared" si="54"/>
        <v>4487</v>
      </c>
      <c r="I110" s="127">
        <f t="shared" si="55"/>
        <v>8250</v>
      </c>
      <c r="J110" s="127">
        <f t="shared" si="56"/>
        <v>6750</v>
      </c>
      <c r="K110" s="127">
        <f t="shared" si="57"/>
        <v>6900</v>
      </c>
      <c r="L110" s="178">
        <f t="shared" si="58"/>
        <v>4815</v>
      </c>
      <c r="M110" s="127">
        <f t="shared" si="59"/>
        <v>6730.5</v>
      </c>
      <c r="N110" s="127" t="str">
        <f t="shared" si="60"/>
        <v>нет</v>
      </c>
      <c r="O110" s="21"/>
      <c r="P110"/>
      <c r="Q110"/>
      <c r="R110" s="61"/>
      <c r="S110" s="61"/>
      <c r="T110" s="61"/>
      <c r="U110" s="61"/>
      <c r="V110" s="61"/>
      <c r="W110" s="61"/>
      <c r="X110" s="61"/>
      <c r="Y110" s="61"/>
      <c r="Z110" s="61"/>
      <c r="AA110" s="145"/>
      <c r="AB110" s="145"/>
      <c r="AC110" s="145"/>
      <c r="AD110" s="145"/>
      <c r="AE110" s="145"/>
    </row>
    <row r="111" spans="1:31" s="130" customFormat="1" x14ac:dyDescent="0.2">
      <c r="A111" s="180">
        <f t="shared" si="61"/>
        <v>94</v>
      </c>
      <c r="B111" s="141" t="s">
        <v>376</v>
      </c>
      <c r="C111" s="141">
        <v>4</v>
      </c>
      <c r="D111" s="141">
        <f t="shared" si="50"/>
        <v>4500</v>
      </c>
      <c r="E111" s="141">
        <f t="shared" si="51"/>
        <v>4600</v>
      </c>
      <c r="F111" s="141">
        <f t="shared" si="52"/>
        <v>5500</v>
      </c>
      <c r="G111" s="169">
        <f t="shared" si="53"/>
        <v>3210</v>
      </c>
      <c r="H111" s="141">
        <f t="shared" si="54"/>
        <v>4487</v>
      </c>
      <c r="I111" s="142">
        <f t="shared" si="55"/>
        <v>8250</v>
      </c>
      <c r="J111" s="142">
        <f t="shared" si="56"/>
        <v>6750</v>
      </c>
      <c r="K111" s="142">
        <f t="shared" si="57"/>
        <v>6900</v>
      </c>
      <c r="L111" s="167">
        <f t="shared" si="58"/>
        <v>4815</v>
      </c>
      <c r="M111" s="142">
        <f t="shared" si="59"/>
        <v>6730.5</v>
      </c>
      <c r="N111" s="142" t="str">
        <f t="shared" si="60"/>
        <v>нет</v>
      </c>
      <c r="O111" s="21"/>
      <c r="P111"/>
      <c r="Q111"/>
      <c r="R111" s="61"/>
      <c r="S111" s="61"/>
      <c r="T111" s="61"/>
      <c r="U111" s="61"/>
      <c r="V111" s="61"/>
      <c r="W111" s="61"/>
      <c r="X111" s="61"/>
      <c r="Y111" s="61"/>
      <c r="Z111" s="61"/>
      <c r="AA111" s="145"/>
      <c r="AB111" s="145"/>
      <c r="AC111" s="145"/>
      <c r="AD111" s="145"/>
      <c r="AE111" s="145"/>
    </row>
    <row r="112" spans="1:31" s="130" customFormat="1" x14ac:dyDescent="0.2">
      <c r="A112" s="180">
        <f t="shared" si="61"/>
        <v>95</v>
      </c>
      <c r="B112" s="141" t="s">
        <v>377</v>
      </c>
      <c r="C112" s="141">
        <v>4</v>
      </c>
      <c r="D112" s="141">
        <f t="shared" si="50"/>
        <v>4500</v>
      </c>
      <c r="E112" s="141">
        <f t="shared" si="51"/>
        <v>4600</v>
      </c>
      <c r="F112" s="141">
        <f t="shared" si="52"/>
        <v>5500</v>
      </c>
      <c r="G112" s="169">
        <f t="shared" si="53"/>
        <v>3210</v>
      </c>
      <c r="H112" s="141">
        <f t="shared" si="54"/>
        <v>4487</v>
      </c>
      <c r="I112" s="142">
        <f t="shared" si="55"/>
        <v>8250</v>
      </c>
      <c r="J112" s="142">
        <f t="shared" si="56"/>
        <v>6750</v>
      </c>
      <c r="K112" s="142">
        <f t="shared" si="57"/>
        <v>6900</v>
      </c>
      <c r="L112" s="167">
        <f t="shared" si="58"/>
        <v>4815</v>
      </c>
      <c r="M112" s="142">
        <f t="shared" si="59"/>
        <v>6730.5</v>
      </c>
      <c r="N112" s="142" t="str">
        <f t="shared" si="60"/>
        <v>нет</v>
      </c>
      <c r="O112" s="21"/>
      <c r="P112" s="141"/>
      <c r="Q112" s="141"/>
      <c r="R112" s="61"/>
      <c r="S112" s="61"/>
      <c r="T112" s="61"/>
      <c r="U112" s="61"/>
      <c r="V112" s="61"/>
      <c r="W112" s="61"/>
      <c r="X112" s="61"/>
      <c r="Y112" s="61"/>
      <c r="Z112" s="61"/>
      <c r="AA112" s="145"/>
      <c r="AB112" s="145"/>
      <c r="AC112" s="145"/>
      <c r="AD112" s="145"/>
      <c r="AE112" s="145"/>
    </row>
    <row r="113" spans="1:31" s="130" customFormat="1" x14ac:dyDescent="0.2">
      <c r="A113" s="180">
        <f t="shared" si="61"/>
        <v>96</v>
      </c>
      <c r="B113" s="141" t="s">
        <v>437</v>
      </c>
      <c r="C113" s="141">
        <v>4</v>
      </c>
      <c r="D113" s="141">
        <f t="shared" si="50"/>
        <v>4500</v>
      </c>
      <c r="E113" s="141">
        <f t="shared" si="51"/>
        <v>4600</v>
      </c>
      <c r="F113" s="141">
        <f t="shared" si="52"/>
        <v>5500</v>
      </c>
      <c r="G113" s="169">
        <f t="shared" si="53"/>
        <v>3210</v>
      </c>
      <c r="H113" s="141">
        <f t="shared" si="54"/>
        <v>4487</v>
      </c>
      <c r="I113" s="142">
        <f t="shared" si="55"/>
        <v>8250</v>
      </c>
      <c r="J113" s="142">
        <f t="shared" si="56"/>
        <v>6750</v>
      </c>
      <c r="K113" s="142">
        <f t="shared" si="57"/>
        <v>6900</v>
      </c>
      <c r="L113" s="167">
        <f t="shared" si="58"/>
        <v>4815</v>
      </c>
      <c r="M113" s="142">
        <f t="shared" si="59"/>
        <v>6730.5</v>
      </c>
      <c r="N113" s="142" t="str">
        <f t="shared" si="60"/>
        <v>нет</v>
      </c>
      <c r="O113" s="21"/>
      <c r="P113" s="141"/>
      <c r="Q113" s="141"/>
      <c r="R113" s="61"/>
      <c r="S113" s="61"/>
      <c r="T113" s="61"/>
      <c r="U113" s="61"/>
      <c r="V113" s="61"/>
      <c r="W113" s="61"/>
      <c r="X113" s="61"/>
      <c r="Y113" s="61"/>
      <c r="Z113" s="61"/>
      <c r="AA113" s="145"/>
      <c r="AB113" s="145"/>
      <c r="AC113" s="145"/>
      <c r="AD113" s="145"/>
      <c r="AE113" s="145"/>
    </row>
    <row r="114" spans="1:31" s="130" customFormat="1" x14ac:dyDescent="0.2">
      <c r="A114" s="180">
        <f t="shared" si="61"/>
        <v>97</v>
      </c>
      <c r="B114" s="141" t="s">
        <v>452</v>
      </c>
      <c r="C114" s="141">
        <v>4</v>
      </c>
      <c r="D114" s="141">
        <f t="shared" si="50"/>
        <v>4500</v>
      </c>
      <c r="E114" s="141">
        <f t="shared" si="51"/>
        <v>4600</v>
      </c>
      <c r="F114" s="141">
        <f t="shared" si="52"/>
        <v>5500</v>
      </c>
      <c r="G114" s="169">
        <f t="shared" si="53"/>
        <v>3210</v>
      </c>
      <c r="H114" s="141">
        <f t="shared" si="54"/>
        <v>4487</v>
      </c>
      <c r="I114" s="142">
        <f t="shared" si="55"/>
        <v>8250</v>
      </c>
      <c r="J114" s="142">
        <f t="shared" si="56"/>
        <v>6750</v>
      </c>
      <c r="K114" s="142">
        <f t="shared" si="57"/>
        <v>6900</v>
      </c>
      <c r="L114" s="167">
        <f t="shared" si="58"/>
        <v>4815</v>
      </c>
      <c r="M114" s="142">
        <f t="shared" si="59"/>
        <v>6730.5</v>
      </c>
      <c r="N114" s="142" t="str">
        <f t="shared" si="60"/>
        <v>нет</v>
      </c>
      <c r="O114" s="21"/>
      <c r="P114" s="141"/>
      <c r="Q114" s="141"/>
      <c r="R114" s="61"/>
      <c r="S114" s="61"/>
      <c r="T114" s="61"/>
      <c r="U114" s="61"/>
      <c r="V114" s="61"/>
      <c r="W114" s="61"/>
      <c r="X114" s="61"/>
      <c r="Y114" s="61"/>
      <c r="Z114" s="61"/>
      <c r="AA114" s="145"/>
      <c r="AB114" s="145"/>
      <c r="AC114" s="145"/>
      <c r="AD114" s="145"/>
      <c r="AE114" s="145"/>
    </row>
    <row r="115" spans="1:31" s="130" customFormat="1" x14ac:dyDescent="0.2">
      <c r="A115" s="180">
        <f t="shared" si="61"/>
        <v>98</v>
      </c>
      <c r="B115" s="141" t="s">
        <v>384</v>
      </c>
      <c r="C115" s="141">
        <v>4</v>
      </c>
      <c r="D115" s="141">
        <f t="shared" si="50"/>
        <v>4500</v>
      </c>
      <c r="E115" s="141">
        <f t="shared" si="51"/>
        <v>4600</v>
      </c>
      <c r="F115" s="141">
        <f t="shared" si="52"/>
        <v>5500</v>
      </c>
      <c r="G115" s="169">
        <f t="shared" si="53"/>
        <v>3210</v>
      </c>
      <c r="H115" s="141">
        <f t="shared" si="54"/>
        <v>4487</v>
      </c>
      <c r="I115" s="142">
        <f t="shared" si="55"/>
        <v>8250</v>
      </c>
      <c r="J115" s="142">
        <f t="shared" si="56"/>
        <v>6750</v>
      </c>
      <c r="K115" s="142">
        <f t="shared" si="57"/>
        <v>6900</v>
      </c>
      <c r="L115" s="167">
        <f t="shared" si="58"/>
        <v>4815</v>
      </c>
      <c r="M115" s="142">
        <f t="shared" si="59"/>
        <v>6730.5</v>
      </c>
      <c r="N115" s="142" t="str">
        <f t="shared" si="60"/>
        <v>нет</v>
      </c>
      <c r="O115" s="21"/>
      <c r="P115" s="141"/>
      <c r="Q115" s="141"/>
      <c r="R115" s="61"/>
      <c r="S115" s="61"/>
      <c r="T115" s="61"/>
      <c r="U115" s="61"/>
      <c r="V115" s="61"/>
      <c r="W115" s="61"/>
      <c r="X115" s="61"/>
      <c r="Y115" s="61"/>
      <c r="Z115" s="61"/>
      <c r="AA115" s="145"/>
      <c r="AB115" s="145"/>
      <c r="AC115" s="145"/>
      <c r="AD115" s="145"/>
      <c r="AE115" s="145"/>
    </row>
    <row r="116" spans="1:31" s="141" customFormat="1" x14ac:dyDescent="0.2">
      <c r="A116" s="180">
        <f t="shared" si="61"/>
        <v>99</v>
      </c>
      <c r="B116" s="141" t="s">
        <v>378</v>
      </c>
      <c r="C116" s="141">
        <v>4</v>
      </c>
      <c r="D116" s="141">
        <f t="shared" si="50"/>
        <v>4500</v>
      </c>
      <c r="E116" s="141">
        <f t="shared" si="51"/>
        <v>4600</v>
      </c>
      <c r="F116" s="141">
        <f t="shared" si="52"/>
        <v>5500</v>
      </c>
      <c r="G116" s="169">
        <f t="shared" si="53"/>
        <v>3210</v>
      </c>
      <c r="H116" s="141">
        <f t="shared" si="54"/>
        <v>4487</v>
      </c>
      <c r="I116" s="142">
        <f t="shared" si="55"/>
        <v>8250</v>
      </c>
      <c r="J116" s="142">
        <f t="shared" si="56"/>
        <v>6750</v>
      </c>
      <c r="K116" s="142">
        <f t="shared" si="57"/>
        <v>6900</v>
      </c>
      <c r="L116" s="167">
        <f t="shared" si="58"/>
        <v>4815</v>
      </c>
      <c r="M116" s="142">
        <f t="shared" si="59"/>
        <v>6730.5</v>
      </c>
      <c r="N116" s="142" t="str">
        <f t="shared" si="60"/>
        <v>нет</v>
      </c>
      <c r="O116" s="21"/>
      <c r="AA116" s="145"/>
      <c r="AB116" s="145"/>
      <c r="AC116" s="145"/>
      <c r="AD116" s="145"/>
      <c r="AE116" s="145"/>
    </row>
    <row r="117" spans="1:31" s="141" customFormat="1" x14ac:dyDescent="0.2">
      <c r="A117" s="180">
        <f t="shared" si="61"/>
        <v>100</v>
      </c>
      <c r="B117" s="141" t="s">
        <v>438</v>
      </c>
      <c r="C117" s="141">
        <v>4</v>
      </c>
      <c r="D117" s="141">
        <f t="shared" si="50"/>
        <v>4500</v>
      </c>
      <c r="E117" s="141">
        <f t="shared" si="51"/>
        <v>4600</v>
      </c>
      <c r="F117" s="141">
        <f t="shared" si="52"/>
        <v>5500</v>
      </c>
      <c r="G117" s="169">
        <f t="shared" si="53"/>
        <v>3210</v>
      </c>
      <c r="H117" s="141">
        <f t="shared" si="54"/>
        <v>4487</v>
      </c>
      <c r="I117" s="142">
        <f t="shared" si="55"/>
        <v>8250</v>
      </c>
      <c r="J117" s="142">
        <f t="shared" si="56"/>
        <v>6750</v>
      </c>
      <c r="K117" s="142">
        <f t="shared" si="57"/>
        <v>6900</v>
      </c>
      <c r="L117" s="167">
        <f t="shared" si="58"/>
        <v>4815</v>
      </c>
      <c r="M117" s="142">
        <f t="shared" si="59"/>
        <v>6730.5</v>
      </c>
      <c r="N117" s="142" t="str">
        <f t="shared" si="60"/>
        <v>нет</v>
      </c>
      <c r="O117" s="21"/>
      <c r="AA117" s="145"/>
      <c r="AB117" s="145"/>
      <c r="AC117" s="145"/>
      <c r="AD117" s="145"/>
      <c r="AE117" s="145"/>
    </row>
    <row r="118" spans="1:31" s="141" customFormat="1" x14ac:dyDescent="0.2">
      <c r="A118" s="180">
        <f t="shared" si="61"/>
        <v>101</v>
      </c>
      <c r="B118" s="141" t="s">
        <v>453</v>
      </c>
      <c r="C118" s="141">
        <v>4</v>
      </c>
      <c r="D118" s="141">
        <f t="shared" si="50"/>
        <v>4500</v>
      </c>
      <c r="E118" s="141">
        <f t="shared" si="51"/>
        <v>4600</v>
      </c>
      <c r="F118" s="141">
        <f t="shared" si="52"/>
        <v>5500</v>
      </c>
      <c r="G118" s="169">
        <f t="shared" si="53"/>
        <v>3210</v>
      </c>
      <c r="H118" s="141">
        <f t="shared" si="54"/>
        <v>4487</v>
      </c>
      <c r="I118" s="142">
        <f t="shared" si="55"/>
        <v>8250</v>
      </c>
      <c r="J118" s="142">
        <f t="shared" si="56"/>
        <v>6750</v>
      </c>
      <c r="K118" s="142">
        <f t="shared" si="57"/>
        <v>6900</v>
      </c>
      <c r="L118" s="167">
        <f t="shared" si="58"/>
        <v>4815</v>
      </c>
      <c r="M118" s="142">
        <f t="shared" si="59"/>
        <v>6730.5</v>
      </c>
      <c r="N118" s="142" t="str">
        <f t="shared" si="60"/>
        <v>нет</v>
      </c>
      <c r="O118" s="21"/>
      <c r="AA118" s="145"/>
      <c r="AB118" s="145"/>
      <c r="AC118" s="145"/>
      <c r="AD118" s="145"/>
      <c r="AE118" s="145"/>
    </row>
    <row r="119" spans="1:31" s="141" customFormat="1" x14ac:dyDescent="0.2">
      <c r="A119" s="180">
        <f t="shared" si="61"/>
        <v>102</v>
      </c>
      <c r="B119" s="141" t="s">
        <v>385</v>
      </c>
      <c r="C119" s="141">
        <v>4</v>
      </c>
      <c r="D119" s="141">
        <f t="shared" si="50"/>
        <v>4500</v>
      </c>
      <c r="E119" s="141">
        <f t="shared" si="51"/>
        <v>4600</v>
      </c>
      <c r="F119" s="141">
        <f t="shared" si="52"/>
        <v>5500</v>
      </c>
      <c r="G119" s="169">
        <f t="shared" si="53"/>
        <v>3210</v>
      </c>
      <c r="H119" s="141">
        <f t="shared" si="54"/>
        <v>4487</v>
      </c>
      <c r="I119" s="142">
        <f t="shared" si="55"/>
        <v>8250</v>
      </c>
      <c r="J119" s="142">
        <f t="shared" si="56"/>
        <v>6750</v>
      </c>
      <c r="K119" s="142">
        <f t="shared" si="57"/>
        <v>6900</v>
      </c>
      <c r="L119" s="167">
        <f t="shared" si="58"/>
        <v>4815</v>
      </c>
      <c r="M119" s="142">
        <f t="shared" si="59"/>
        <v>6730.5</v>
      </c>
      <c r="N119" s="142" t="str">
        <f t="shared" si="60"/>
        <v>нет</v>
      </c>
      <c r="O119" s="21"/>
      <c r="AA119" s="145"/>
      <c r="AB119" s="145"/>
      <c r="AC119" s="145"/>
      <c r="AD119" s="145"/>
      <c r="AE119" s="145"/>
    </row>
    <row r="120" spans="1:31" s="141" customFormat="1" x14ac:dyDescent="0.2">
      <c r="A120" s="180">
        <f t="shared" si="61"/>
        <v>103</v>
      </c>
      <c r="B120" s="141" t="s">
        <v>454</v>
      </c>
      <c r="C120" s="141">
        <v>4</v>
      </c>
      <c r="D120" s="128">
        <f t="shared" si="50"/>
        <v>4500</v>
      </c>
      <c r="E120" s="128">
        <f t="shared" si="51"/>
        <v>4600</v>
      </c>
      <c r="F120" s="128">
        <f t="shared" si="52"/>
        <v>5500</v>
      </c>
      <c r="G120" s="168">
        <f t="shared" si="53"/>
        <v>3210</v>
      </c>
      <c r="H120" s="128">
        <f t="shared" si="54"/>
        <v>4487</v>
      </c>
      <c r="I120" s="127">
        <f t="shared" si="55"/>
        <v>8250</v>
      </c>
      <c r="J120" s="127">
        <f t="shared" si="56"/>
        <v>6750</v>
      </c>
      <c r="K120" s="127">
        <f t="shared" si="57"/>
        <v>6900</v>
      </c>
      <c r="L120" s="178">
        <f t="shared" si="58"/>
        <v>4815</v>
      </c>
      <c r="M120" s="127">
        <f t="shared" si="59"/>
        <v>6730.5</v>
      </c>
      <c r="N120" s="127" t="str">
        <f t="shared" si="60"/>
        <v>нет</v>
      </c>
      <c r="O120" s="21"/>
      <c r="AA120" s="145"/>
      <c r="AB120" s="145"/>
      <c r="AC120" s="145"/>
      <c r="AD120" s="145"/>
      <c r="AE120" s="145"/>
    </row>
    <row r="121" spans="1:31" s="141" customFormat="1" x14ac:dyDescent="0.2">
      <c r="A121" s="180">
        <f t="shared" si="61"/>
        <v>104</v>
      </c>
      <c r="B121" s="141" t="s">
        <v>432</v>
      </c>
      <c r="C121" s="141">
        <v>3</v>
      </c>
      <c r="D121" s="128">
        <f t="shared" si="50"/>
        <v>3800</v>
      </c>
      <c r="E121" s="128">
        <f t="shared" si="51"/>
        <v>3900</v>
      </c>
      <c r="F121" s="128">
        <f t="shared" si="52"/>
        <v>4570</v>
      </c>
      <c r="G121" s="168">
        <f t="shared" si="53"/>
        <v>3120</v>
      </c>
      <c r="H121" s="128">
        <f t="shared" si="54"/>
        <v>4337</v>
      </c>
      <c r="I121" s="127">
        <f t="shared" si="55"/>
        <v>6855</v>
      </c>
      <c r="J121" s="127">
        <f t="shared" si="56"/>
        <v>5700</v>
      </c>
      <c r="K121" s="127">
        <f t="shared" si="57"/>
        <v>5850</v>
      </c>
      <c r="L121" s="178">
        <f t="shared" si="58"/>
        <v>4680</v>
      </c>
      <c r="M121" s="127">
        <f t="shared" si="59"/>
        <v>6505.5</v>
      </c>
      <c r="N121" s="127" t="str">
        <f t="shared" si="60"/>
        <v>нет</v>
      </c>
      <c r="O121" s="21"/>
      <c r="AA121" s="145"/>
      <c r="AB121" s="145"/>
      <c r="AC121" s="145"/>
      <c r="AD121" s="145"/>
      <c r="AE121" s="145"/>
    </row>
    <row r="122" spans="1:31" s="141" customFormat="1" x14ac:dyDescent="0.2">
      <c r="A122" s="180">
        <f t="shared" si="61"/>
        <v>105</v>
      </c>
      <c r="B122" s="141" t="s">
        <v>429</v>
      </c>
      <c r="C122" s="141">
        <v>4</v>
      </c>
      <c r="D122" s="128">
        <f t="shared" si="50"/>
        <v>4500</v>
      </c>
      <c r="E122" s="128">
        <f t="shared" si="51"/>
        <v>4600</v>
      </c>
      <c r="F122" s="128">
        <f t="shared" si="52"/>
        <v>5500</v>
      </c>
      <c r="G122" s="168">
        <f t="shared" si="53"/>
        <v>3210</v>
      </c>
      <c r="H122" s="128">
        <f t="shared" si="54"/>
        <v>4487</v>
      </c>
      <c r="I122" s="127">
        <f t="shared" si="55"/>
        <v>8250</v>
      </c>
      <c r="J122" s="127">
        <f t="shared" si="56"/>
        <v>6750</v>
      </c>
      <c r="K122" s="127">
        <f t="shared" si="57"/>
        <v>6900</v>
      </c>
      <c r="L122" s="178">
        <f t="shared" si="58"/>
        <v>4815</v>
      </c>
      <c r="M122" s="127">
        <f t="shared" si="59"/>
        <v>6730.5</v>
      </c>
      <c r="N122" s="127" t="str">
        <f t="shared" si="60"/>
        <v>нет</v>
      </c>
      <c r="O122" s="21"/>
      <c r="P122"/>
      <c r="Q122"/>
      <c r="AA122" s="145"/>
      <c r="AB122" s="145"/>
      <c r="AC122" s="145"/>
      <c r="AD122" s="145"/>
      <c r="AE122" s="145"/>
    </row>
    <row r="123" spans="1:31" s="141" customFormat="1" x14ac:dyDescent="0.2">
      <c r="A123" s="180">
        <f t="shared" si="61"/>
        <v>106</v>
      </c>
      <c r="B123" s="141" t="s">
        <v>392</v>
      </c>
      <c r="C123" s="141">
        <v>4</v>
      </c>
      <c r="D123" s="128">
        <f t="shared" si="50"/>
        <v>4500</v>
      </c>
      <c r="E123" s="128">
        <f t="shared" si="51"/>
        <v>4600</v>
      </c>
      <c r="F123" s="128">
        <f t="shared" si="52"/>
        <v>5500</v>
      </c>
      <c r="G123" s="168">
        <f t="shared" si="53"/>
        <v>3210</v>
      </c>
      <c r="H123" s="128">
        <f t="shared" si="54"/>
        <v>4487</v>
      </c>
      <c r="I123" s="127">
        <f t="shared" si="55"/>
        <v>8250</v>
      </c>
      <c r="J123" s="127">
        <f t="shared" si="56"/>
        <v>6750</v>
      </c>
      <c r="K123" s="127">
        <f t="shared" si="57"/>
        <v>6900</v>
      </c>
      <c r="L123" s="178">
        <f t="shared" si="58"/>
        <v>4815</v>
      </c>
      <c r="M123" s="127">
        <f t="shared" si="59"/>
        <v>6730.5</v>
      </c>
      <c r="N123" s="127" t="str">
        <f t="shared" si="60"/>
        <v>нет</v>
      </c>
      <c r="O123" s="21"/>
      <c r="P123"/>
      <c r="Q123"/>
      <c r="AA123" s="145"/>
      <c r="AB123" s="145"/>
      <c r="AC123" s="145"/>
      <c r="AD123" s="145"/>
      <c r="AE123" s="145"/>
    </row>
    <row r="124" spans="1:31" s="141" customFormat="1" x14ac:dyDescent="0.2">
      <c r="A124" s="180">
        <f t="shared" si="61"/>
        <v>107</v>
      </c>
      <c r="B124" s="141" t="s">
        <v>439</v>
      </c>
      <c r="C124" s="141">
        <v>4</v>
      </c>
      <c r="D124" s="128">
        <f t="shared" si="50"/>
        <v>4500</v>
      </c>
      <c r="E124" s="128">
        <f t="shared" si="51"/>
        <v>4600</v>
      </c>
      <c r="F124" s="128">
        <f t="shared" si="52"/>
        <v>5500</v>
      </c>
      <c r="G124" s="168">
        <f t="shared" si="53"/>
        <v>3210</v>
      </c>
      <c r="H124" s="128">
        <f t="shared" si="54"/>
        <v>4487</v>
      </c>
      <c r="I124" s="127">
        <f t="shared" si="55"/>
        <v>8250</v>
      </c>
      <c r="J124" s="127">
        <f t="shared" si="56"/>
        <v>6750</v>
      </c>
      <c r="K124" s="127">
        <f t="shared" si="57"/>
        <v>6900</v>
      </c>
      <c r="L124" s="178">
        <f t="shared" si="58"/>
        <v>4815</v>
      </c>
      <c r="M124" s="127">
        <f t="shared" si="59"/>
        <v>6730.5</v>
      </c>
      <c r="N124" s="127" t="str">
        <f t="shared" si="60"/>
        <v>нет</v>
      </c>
      <c r="O124" s="21"/>
      <c r="P124"/>
      <c r="Q124"/>
      <c r="AA124" s="145"/>
      <c r="AB124" s="145"/>
      <c r="AC124" s="145"/>
      <c r="AD124" s="145"/>
      <c r="AE124" s="145"/>
    </row>
    <row r="125" spans="1:31" s="130" customFormat="1" x14ac:dyDescent="0.2">
      <c r="A125" s="180">
        <f t="shared" si="61"/>
        <v>108</v>
      </c>
      <c r="B125" s="141" t="s">
        <v>455</v>
      </c>
      <c r="C125" s="141">
        <v>4</v>
      </c>
      <c r="D125" s="128">
        <f t="shared" si="50"/>
        <v>4500</v>
      </c>
      <c r="E125" s="128">
        <f t="shared" si="51"/>
        <v>4600</v>
      </c>
      <c r="F125" s="128">
        <f t="shared" si="52"/>
        <v>5500</v>
      </c>
      <c r="G125" s="168">
        <f t="shared" si="53"/>
        <v>3210</v>
      </c>
      <c r="H125" s="128">
        <f t="shared" si="54"/>
        <v>4487</v>
      </c>
      <c r="I125" s="127">
        <f t="shared" si="55"/>
        <v>8250</v>
      </c>
      <c r="J125" s="127">
        <f t="shared" si="56"/>
        <v>6750</v>
      </c>
      <c r="K125" s="127">
        <f t="shared" si="57"/>
        <v>6900</v>
      </c>
      <c r="L125" s="178">
        <f t="shared" si="58"/>
        <v>4815</v>
      </c>
      <c r="M125" s="127">
        <f t="shared" si="59"/>
        <v>6730.5</v>
      </c>
      <c r="N125" s="127" t="str">
        <f t="shared" si="60"/>
        <v>нет</v>
      </c>
      <c r="O125" s="21"/>
      <c r="P125"/>
      <c r="Q125"/>
      <c r="T125" s="61"/>
      <c r="U125" s="61"/>
      <c r="V125" s="61"/>
      <c r="W125" s="61"/>
      <c r="X125" s="61"/>
      <c r="Y125" s="61"/>
      <c r="Z125" s="61"/>
      <c r="AA125" s="145"/>
      <c r="AB125" s="145"/>
      <c r="AC125" s="145"/>
      <c r="AD125" s="145"/>
      <c r="AE125" s="145"/>
    </row>
    <row r="126" spans="1:31" s="130" customFormat="1" x14ac:dyDescent="0.2">
      <c r="A126" s="180">
        <f t="shared" si="61"/>
        <v>109</v>
      </c>
      <c r="B126" s="141" t="s">
        <v>456</v>
      </c>
      <c r="C126" s="141">
        <v>2</v>
      </c>
      <c r="D126" s="128">
        <f t="shared" si="50"/>
        <v>3400</v>
      </c>
      <c r="E126" s="128">
        <f t="shared" si="51"/>
        <v>3500</v>
      </c>
      <c r="F126" s="128">
        <f t="shared" si="52"/>
        <v>4170</v>
      </c>
      <c r="G126" s="168">
        <f t="shared" si="53"/>
        <v>3043</v>
      </c>
      <c r="H126" s="128">
        <f t="shared" si="54"/>
        <v>4187</v>
      </c>
      <c r="I126" s="127">
        <f t="shared" si="55"/>
        <v>6255</v>
      </c>
      <c r="J126" s="127">
        <f t="shared" si="56"/>
        <v>5100</v>
      </c>
      <c r="K126" s="127">
        <f t="shared" si="57"/>
        <v>5250</v>
      </c>
      <c r="L126" s="178">
        <f t="shared" si="58"/>
        <v>4564.5</v>
      </c>
      <c r="M126" s="127">
        <f t="shared" si="59"/>
        <v>6280.5</v>
      </c>
      <c r="N126" s="127" t="str">
        <f t="shared" si="60"/>
        <v>нет</v>
      </c>
      <c r="O126" s="21"/>
      <c r="P126"/>
      <c r="Q126"/>
      <c r="R126" s="61"/>
      <c r="S126" s="61"/>
      <c r="T126" s="61"/>
      <c r="U126" s="61"/>
      <c r="V126" s="61"/>
      <c r="W126" s="61"/>
      <c r="X126" s="61"/>
      <c r="Y126" s="61"/>
      <c r="Z126" s="61"/>
      <c r="AA126" s="145"/>
      <c r="AB126" s="145"/>
      <c r="AC126" s="145"/>
      <c r="AD126" s="145"/>
      <c r="AE126" s="145"/>
    </row>
    <row r="127" spans="1:31" s="130" customFormat="1" x14ac:dyDescent="0.2">
      <c r="A127" s="180">
        <f t="shared" si="61"/>
        <v>110</v>
      </c>
      <c r="B127" s="141" t="s">
        <v>363</v>
      </c>
      <c r="C127" s="141">
        <v>4</v>
      </c>
      <c r="D127" s="128">
        <f t="shared" si="50"/>
        <v>4500</v>
      </c>
      <c r="E127" s="128">
        <f t="shared" si="51"/>
        <v>4600</v>
      </c>
      <c r="F127" s="128">
        <f t="shared" si="52"/>
        <v>5500</v>
      </c>
      <c r="G127" s="168">
        <f t="shared" si="53"/>
        <v>3210</v>
      </c>
      <c r="H127" s="128">
        <f t="shared" si="54"/>
        <v>4487</v>
      </c>
      <c r="I127" s="127">
        <f t="shared" si="55"/>
        <v>8250</v>
      </c>
      <c r="J127" s="127">
        <f t="shared" si="56"/>
        <v>6750</v>
      </c>
      <c r="K127" s="127">
        <f t="shared" si="57"/>
        <v>6900</v>
      </c>
      <c r="L127" s="178">
        <f t="shared" si="58"/>
        <v>4815</v>
      </c>
      <c r="M127" s="127">
        <f t="shared" si="59"/>
        <v>6730.5</v>
      </c>
      <c r="N127" s="127" t="str">
        <f t="shared" si="60"/>
        <v>нет</v>
      </c>
      <c r="O127" s="21"/>
      <c r="P127"/>
      <c r="Q127"/>
      <c r="R127" s="61"/>
      <c r="S127" s="61"/>
      <c r="T127" s="61"/>
      <c r="U127" s="61"/>
      <c r="V127" s="61"/>
      <c r="W127" s="61"/>
      <c r="X127" s="61"/>
      <c r="Y127" s="61"/>
      <c r="Z127" s="61"/>
      <c r="AA127" s="145"/>
      <c r="AB127" s="145"/>
      <c r="AC127" s="145"/>
      <c r="AD127" s="145"/>
      <c r="AE127" s="145"/>
    </row>
    <row r="128" spans="1:31" s="130" customFormat="1" x14ac:dyDescent="0.2">
      <c r="A128" s="180">
        <f t="shared" si="61"/>
        <v>111</v>
      </c>
      <c r="B128" s="141" t="s">
        <v>364</v>
      </c>
      <c r="C128" s="141">
        <v>2</v>
      </c>
      <c r="D128" s="128">
        <f t="shared" si="50"/>
        <v>3400</v>
      </c>
      <c r="E128" s="128">
        <f t="shared" si="51"/>
        <v>3500</v>
      </c>
      <c r="F128" s="128">
        <f t="shared" si="52"/>
        <v>4170</v>
      </c>
      <c r="G128" s="168">
        <f t="shared" si="53"/>
        <v>3043</v>
      </c>
      <c r="H128" s="128">
        <f t="shared" si="54"/>
        <v>4187</v>
      </c>
      <c r="I128" s="127">
        <f t="shared" si="55"/>
        <v>6255</v>
      </c>
      <c r="J128" s="127">
        <f t="shared" si="56"/>
        <v>5100</v>
      </c>
      <c r="K128" s="127">
        <f t="shared" si="57"/>
        <v>5250</v>
      </c>
      <c r="L128" s="178">
        <f t="shared" si="58"/>
        <v>4564.5</v>
      </c>
      <c r="M128" s="127">
        <f t="shared" si="59"/>
        <v>6280.5</v>
      </c>
      <c r="N128" s="127" t="str">
        <f t="shared" si="60"/>
        <v>нет</v>
      </c>
      <c r="O128" s="21"/>
      <c r="P128"/>
      <c r="Q128"/>
      <c r="R128" s="61"/>
      <c r="S128" s="61"/>
      <c r="T128" s="61"/>
      <c r="U128" s="61"/>
      <c r="V128" s="61"/>
      <c r="W128" s="61"/>
      <c r="X128" s="61"/>
      <c r="Y128" s="61"/>
      <c r="Z128" s="61"/>
      <c r="AA128" s="145"/>
      <c r="AB128" s="145"/>
      <c r="AC128" s="145"/>
      <c r="AD128" s="145"/>
      <c r="AE128" s="145"/>
    </row>
    <row r="129" spans="1:31" s="130" customFormat="1" x14ac:dyDescent="0.2">
      <c r="A129" s="180">
        <f t="shared" si="61"/>
        <v>112</v>
      </c>
      <c r="B129" s="141" t="s">
        <v>365</v>
      </c>
      <c r="C129" s="141">
        <v>4</v>
      </c>
      <c r="D129" s="128">
        <f t="shared" si="50"/>
        <v>4500</v>
      </c>
      <c r="E129" s="128">
        <f t="shared" si="51"/>
        <v>4600</v>
      </c>
      <c r="F129" s="128">
        <f t="shared" si="52"/>
        <v>5500</v>
      </c>
      <c r="G129" s="168">
        <f t="shared" si="53"/>
        <v>3210</v>
      </c>
      <c r="H129" s="128">
        <f t="shared" si="54"/>
        <v>4487</v>
      </c>
      <c r="I129" s="127">
        <f t="shared" si="55"/>
        <v>8250</v>
      </c>
      <c r="J129" s="127">
        <f t="shared" si="56"/>
        <v>6750</v>
      </c>
      <c r="K129" s="127">
        <f t="shared" si="57"/>
        <v>6900</v>
      </c>
      <c r="L129" s="178">
        <f t="shared" si="58"/>
        <v>4815</v>
      </c>
      <c r="M129" s="127">
        <f t="shared" si="59"/>
        <v>6730.5</v>
      </c>
      <c r="N129" s="127" t="str">
        <f t="shared" si="60"/>
        <v>нет</v>
      </c>
      <c r="O129" s="21"/>
      <c r="P129"/>
      <c r="Q129"/>
      <c r="R129" s="61"/>
      <c r="S129" s="61"/>
      <c r="T129" s="61"/>
      <c r="U129" s="61"/>
      <c r="V129" s="61"/>
      <c r="W129" s="61"/>
      <c r="X129" s="61"/>
      <c r="Y129" s="61"/>
      <c r="Z129" s="61"/>
      <c r="AA129" s="145"/>
      <c r="AB129" s="145"/>
      <c r="AC129" s="145"/>
      <c r="AD129" s="145"/>
      <c r="AE129" s="145"/>
    </row>
    <row r="130" spans="1:31" s="130" customFormat="1" x14ac:dyDescent="0.2">
      <c r="A130" s="180">
        <f t="shared" si="61"/>
        <v>113</v>
      </c>
      <c r="B130" s="141" t="s">
        <v>458</v>
      </c>
      <c r="C130" s="141">
        <v>4</v>
      </c>
      <c r="D130" s="128">
        <f t="shared" si="50"/>
        <v>4500</v>
      </c>
      <c r="E130" s="128">
        <f t="shared" si="51"/>
        <v>4600</v>
      </c>
      <c r="F130" s="128">
        <f t="shared" si="52"/>
        <v>5500</v>
      </c>
      <c r="G130" s="168">
        <f t="shared" si="53"/>
        <v>3210</v>
      </c>
      <c r="H130" s="128">
        <f t="shared" si="54"/>
        <v>4487</v>
      </c>
      <c r="I130" s="127">
        <f t="shared" si="55"/>
        <v>8250</v>
      </c>
      <c r="J130" s="127">
        <f t="shared" si="56"/>
        <v>6750</v>
      </c>
      <c r="K130" s="127">
        <f t="shared" si="57"/>
        <v>6900</v>
      </c>
      <c r="L130" s="178">
        <f t="shared" si="58"/>
        <v>4815</v>
      </c>
      <c r="M130" s="127">
        <f t="shared" si="59"/>
        <v>6730.5</v>
      </c>
      <c r="N130" s="127" t="str">
        <f t="shared" si="60"/>
        <v>нет</v>
      </c>
      <c r="O130" s="21"/>
      <c r="P130"/>
      <c r="Q130"/>
      <c r="R130" s="61"/>
      <c r="S130" s="61"/>
      <c r="T130" s="61"/>
      <c r="U130" s="61"/>
      <c r="V130" s="61"/>
      <c r="W130" s="61"/>
      <c r="X130" s="61"/>
      <c r="Y130" s="61"/>
      <c r="Z130" s="61"/>
      <c r="AA130" s="145"/>
      <c r="AB130" s="145"/>
      <c r="AC130" s="145"/>
      <c r="AD130" s="145"/>
      <c r="AE130" s="145"/>
    </row>
    <row r="131" spans="1:31" s="130" customFormat="1" x14ac:dyDescent="0.2">
      <c r="A131" s="180">
        <f t="shared" si="61"/>
        <v>114</v>
      </c>
      <c r="B131" s="141" t="s">
        <v>287</v>
      </c>
      <c r="C131" s="141">
        <v>4</v>
      </c>
      <c r="D131" s="128">
        <f t="shared" si="50"/>
        <v>4500</v>
      </c>
      <c r="E131" s="128">
        <f t="shared" si="51"/>
        <v>4600</v>
      </c>
      <c r="F131" s="128">
        <f t="shared" si="52"/>
        <v>5500</v>
      </c>
      <c r="G131" s="168">
        <f t="shared" si="53"/>
        <v>3210</v>
      </c>
      <c r="H131" s="128">
        <f t="shared" si="54"/>
        <v>4487</v>
      </c>
      <c r="I131" s="127">
        <f t="shared" si="55"/>
        <v>8250</v>
      </c>
      <c r="J131" s="127">
        <f t="shared" si="56"/>
        <v>6750</v>
      </c>
      <c r="K131" s="127">
        <f t="shared" si="57"/>
        <v>6900</v>
      </c>
      <c r="L131" s="178">
        <f t="shared" si="58"/>
        <v>4815</v>
      </c>
      <c r="M131" s="127">
        <f t="shared" si="59"/>
        <v>6730.5</v>
      </c>
      <c r="N131" s="127" t="str">
        <f t="shared" si="60"/>
        <v>нет</v>
      </c>
      <c r="O131" s="21"/>
      <c r="P131"/>
      <c r="Q131"/>
      <c r="R131" s="61"/>
      <c r="S131" s="61"/>
      <c r="T131" s="61"/>
      <c r="U131" s="61"/>
      <c r="V131" s="61"/>
      <c r="W131" s="61"/>
      <c r="X131" s="61"/>
      <c r="Y131" s="61"/>
      <c r="Z131" s="61"/>
      <c r="AA131" s="145"/>
      <c r="AB131" s="145"/>
      <c r="AC131" s="145"/>
      <c r="AD131" s="145"/>
      <c r="AE131" s="145"/>
    </row>
    <row r="132" spans="1:31" s="130" customFormat="1" x14ac:dyDescent="0.2">
      <c r="A132" s="180">
        <f t="shared" si="61"/>
        <v>115</v>
      </c>
      <c r="B132" s="141" t="s">
        <v>366</v>
      </c>
      <c r="C132" s="141">
        <v>4</v>
      </c>
      <c r="D132" s="128">
        <f t="shared" si="50"/>
        <v>4500</v>
      </c>
      <c r="E132" s="128">
        <f t="shared" si="51"/>
        <v>4600</v>
      </c>
      <c r="F132" s="128">
        <f t="shared" si="52"/>
        <v>5500</v>
      </c>
      <c r="G132" s="168">
        <f t="shared" si="53"/>
        <v>3210</v>
      </c>
      <c r="H132" s="128">
        <f t="shared" si="54"/>
        <v>4487</v>
      </c>
      <c r="I132" s="127">
        <f t="shared" si="55"/>
        <v>8250</v>
      </c>
      <c r="J132" s="127">
        <f t="shared" si="56"/>
        <v>6750</v>
      </c>
      <c r="K132" s="127">
        <f t="shared" si="57"/>
        <v>6900</v>
      </c>
      <c r="L132" s="178">
        <f t="shared" si="58"/>
        <v>4815</v>
      </c>
      <c r="M132" s="127">
        <f t="shared" si="59"/>
        <v>6730.5</v>
      </c>
      <c r="N132" s="127" t="str">
        <f t="shared" si="60"/>
        <v>нет</v>
      </c>
      <c r="O132" s="21"/>
      <c r="P132" s="143"/>
      <c r="Q132" s="143"/>
      <c r="R132" s="61"/>
      <c r="S132" s="61"/>
      <c r="T132" s="61"/>
      <c r="U132" s="61"/>
      <c r="V132" s="61"/>
      <c r="W132" s="61"/>
      <c r="X132" s="61"/>
      <c r="Y132" s="61"/>
      <c r="Z132" s="61"/>
      <c r="AA132" s="145"/>
      <c r="AB132" s="145"/>
      <c r="AC132" s="145"/>
      <c r="AD132" s="145"/>
      <c r="AE132" s="145"/>
    </row>
    <row r="133" spans="1:31" s="130" customFormat="1" x14ac:dyDescent="0.2">
      <c r="A133" s="180">
        <f t="shared" si="61"/>
        <v>116</v>
      </c>
      <c r="B133" s="141" t="s">
        <v>430</v>
      </c>
      <c r="C133" s="141">
        <v>4</v>
      </c>
      <c r="D133" s="128">
        <f t="shared" si="50"/>
        <v>4500</v>
      </c>
      <c r="E133" s="128">
        <f t="shared" si="51"/>
        <v>4600</v>
      </c>
      <c r="F133" s="128">
        <f t="shared" si="52"/>
        <v>5500</v>
      </c>
      <c r="G133" s="168">
        <f t="shared" si="53"/>
        <v>3210</v>
      </c>
      <c r="H133" s="128">
        <f t="shared" si="54"/>
        <v>4487</v>
      </c>
      <c r="I133" s="127">
        <f t="shared" si="55"/>
        <v>8250</v>
      </c>
      <c r="J133" s="127">
        <f t="shared" si="56"/>
        <v>6750</v>
      </c>
      <c r="K133" s="127">
        <f t="shared" si="57"/>
        <v>6900</v>
      </c>
      <c r="L133" s="178">
        <f t="shared" si="58"/>
        <v>4815</v>
      </c>
      <c r="M133" s="127">
        <f t="shared" si="59"/>
        <v>6730.5</v>
      </c>
      <c r="N133" s="127" t="str">
        <f t="shared" si="60"/>
        <v>нет</v>
      </c>
      <c r="O133" s="21"/>
      <c r="P133"/>
      <c r="Q133"/>
      <c r="R133" s="61"/>
      <c r="S133" s="61"/>
      <c r="T133" s="61"/>
      <c r="U133" s="61"/>
      <c r="V133" s="61"/>
      <c r="W133" s="61"/>
      <c r="X133" s="61"/>
      <c r="Y133" s="61"/>
      <c r="Z133" s="61"/>
      <c r="AA133" s="145"/>
      <c r="AB133" s="145"/>
      <c r="AC133" s="145"/>
      <c r="AD133" s="145"/>
      <c r="AE133" s="145"/>
    </row>
    <row r="134" spans="1:31" s="130" customFormat="1" x14ac:dyDescent="0.2">
      <c r="A134" s="180">
        <f t="shared" si="61"/>
        <v>117</v>
      </c>
      <c r="B134" s="141" t="s">
        <v>459</v>
      </c>
      <c r="C134" s="141">
        <v>4</v>
      </c>
      <c r="D134" s="128">
        <f t="shared" si="50"/>
        <v>4500</v>
      </c>
      <c r="E134" s="128">
        <f t="shared" si="51"/>
        <v>4600</v>
      </c>
      <c r="F134" s="128">
        <f t="shared" si="52"/>
        <v>5500</v>
      </c>
      <c r="G134" s="168">
        <f t="shared" si="53"/>
        <v>3210</v>
      </c>
      <c r="H134" s="128">
        <f t="shared" si="54"/>
        <v>4487</v>
      </c>
      <c r="I134" s="127">
        <f t="shared" si="55"/>
        <v>8250</v>
      </c>
      <c r="J134" s="127">
        <f t="shared" si="56"/>
        <v>6750</v>
      </c>
      <c r="K134" s="127">
        <f t="shared" si="57"/>
        <v>6900</v>
      </c>
      <c r="L134" s="178">
        <f t="shared" si="58"/>
        <v>4815</v>
      </c>
      <c r="M134" s="127">
        <f t="shared" si="59"/>
        <v>6730.5</v>
      </c>
      <c r="N134" s="127" t="str">
        <f t="shared" si="60"/>
        <v>нет</v>
      </c>
      <c r="O134" s="21"/>
      <c r="P134"/>
      <c r="Q134"/>
      <c r="R134" s="61"/>
      <c r="S134" s="61"/>
      <c r="T134" s="61"/>
      <c r="U134" s="61"/>
      <c r="V134" s="61"/>
      <c r="W134" s="61"/>
      <c r="X134" s="61"/>
      <c r="Y134" s="61"/>
      <c r="Z134" s="61"/>
      <c r="AA134" s="145"/>
      <c r="AB134" s="145"/>
      <c r="AC134" s="145"/>
      <c r="AD134" s="145"/>
      <c r="AE134" s="145"/>
    </row>
    <row r="135" spans="1:31" s="130" customFormat="1" x14ac:dyDescent="0.2">
      <c r="A135" s="180">
        <f t="shared" si="61"/>
        <v>118</v>
      </c>
      <c r="B135" s="141" t="s">
        <v>672</v>
      </c>
      <c r="C135" s="141">
        <v>4</v>
      </c>
      <c r="D135" s="128">
        <f t="shared" si="50"/>
        <v>4500</v>
      </c>
      <c r="E135" s="128">
        <f t="shared" si="51"/>
        <v>4600</v>
      </c>
      <c r="F135" s="128">
        <f t="shared" si="52"/>
        <v>5500</v>
      </c>
      <c r="G135" s="168">
        <f t="shared" si="53"/>
        <v>3210</v>
      </c>
      <c r="H135" s="128">
        <f t="shared" si="54"/>
        <v>4487</v>
      </c>
      <c r="I135" s="127">
        <f t="shared" si="55"/>
        <v>8250</v>
      </c>
      <c r="J135" s="127">
        <f t="shared" si="56"/>
        <v>6750</v>
      </c>
      <c r="K135" s="127">
        <f t="shared" si="57"/>
        <v>6900</v>
      </c>
      <c r="L135" s="178">
        <f t="shared" si="58"/>
        <v>4815</v>
      </c>
      <c r="M135" s="127">
        <f t="shared" si="59"/>
        <v>6730.5</v>
      </c>
      <c r="N135" s="127" t="str">
        <f t="shared" si="60"/>
        <v>нет</v>
      </c>
      <c r="O135" s="21"/>
      <c r="P135"/>
      <c r="Q135"/>
      <c r="R135" s="61"/>
      <c r="S135" s="61"/>
      <c r="T135" s="61"/>
      <c r="U135" s="61"/>
      <c r="V135" s="61"/>
      <c r="W135" s="61"/>
      <c r="X135" s="61"/>
      <c r="Y135" s="61"/>
      <c r="Z135" s="61"/>
      <c r="AA135" s="145"/>
      <c r="AB135" s="145"/>
      <c r="AC135" s="145"/>
      <c r="AD135" s="145"/>
      <c r="AE135" s="145"/>
    </row>
    <row r="136" spans="1:31" s="130" customFormat="1" x14ac:dyDescent="0.2">
      <c r="A136" s="180">
        <f t="shared" si="61"/>
        <v>119</v>
      </c>
      <c r="B136" s="141" t="s">
        <v>440</v>
      </c>
      <c r="C136" s="141">
        <v>4</v>
      </c>
      <c r="D136" s="128">
        <f t="shared" si="50"/>
        <v>4500</v>
      </c>
      <c r="E136" s="128">
        <f t="shared" si="51"/>
        <v>4600</v>
      </c>
      <c r="F136" s="128">
        <f t="shared" si="52"/>
        <v>5500</v>
      </c>
      <c r="G136" s="168">
        <f t="shared" si="53"/>
        <v>3210</v>
      </c>
      <c r="H136" s="128">
        <f t="shared" si="54"/>
        <v>4487</v>
      </c>
      <c r="I136" s="127">
        <f t="shared" si="55"/>
        <v>8250</v>
      </c>
      <c r="J136" s="127">
        <f t="shared" si="56"/>
        <v>6750</v>
      </c>
      <c r="K136" s="127">
        <f t="shared" si="57"/>
        <v>6900</v>
      </c>
      <c r="L136" s="178">
        <f t="shared" si="58"/>
        <v>4815</v>
      </c>
      <c r="M136" s="127">
        <f t="shared" si="59"/>
        <v>6730.5</v>
      </c>
      <c r="N136" s="127" t="str">
        <f t="shared" si="60"/>
        <v>нет</v>
      </c>
      <c r="O136" s="21"/>
      <c r="P136"/>
      <c r="Q136"/>
      <c r="R136"/>
      <c r="S136"/>
      <c r="T136" s="61"/>
      <c r="U136" s="61"/>
      <c r="V136" s="61"/>
      <c r="W136" s="61"/>
      <c r="X136" s="61"/>
      <c r="Y136" s="61"/>
      <c r="Z136" s="61"/>
      <c r="AA136" s="145"/>
      <c r="AB136" s="145"/>
      <c r="AC136" s="145"/>
      <c r="AD136" s="145"/>
      <c r="AE136" s="145"/>
    </row>
    <row r="137" spans="1:31" s="130" customFormat="1" x14ac:dyDescent="0.2">
      <c r="A137" s="180">
        <f t="shared" si="61"/>
        <v>120</v>
      </c>
      <c r="B137" s="141" t="s">
        <v>457</v>
      </c>
      <c r="C137" s="141">
        <v>4</v>
      </c>
      <c r="D137" s="128">
        <f t="shared" si="50"/>
        <v>4500</v>
      </c>
      <c r="E137" s="128">
        <f t="shared" si="51"/>
        <v>4600</v>
      </c>
      <c r="F137" s="128">
        <f t="shared" si="52"/>
        <v>5500</v>
      </c>
      <c r="G137" s="168">
        <f t="shared" si="53"/>
        <v>3210</v>
      </c>
      <c r="H137" s="128">
        <f t="shared" si="54"/>
        <v>4487</v>
      </c>
      <c r="I137" s="127">
        <f t="shared" si="55"/>
        <v>8250</v>
      </c>
      <c r="J137" s="127">
        <f t="shared" si="56"/>
        <v>6750</v>
      </c>
      <c r="K137" s="127">
        <f t="shared" si="57"/>
        <v>6900</v>
      </c>
      <c r="L137" s="178">
        <f t="shared" si="58"/>
        <v>4815</v>
      </c>
      <c r="M137" s="127">
        <f t="shared" si="59"/>
        <v>6730.5</v>
      </c>
      <c r="N137" s="127" t="str">
        <f t="shared" si="60"/>
        <v>нет</v>
      </c>
      <c r="O137" s="21"/>
      <c r="P137"/>
      <c r="Q137"/>
      <c r="R137" s="61"/>
      <c r="S137" s="61"/>
      <c r="T137" s="61"/>
      <c r="U137" s="61"/>
      <c r="V137" s="61"/>
      <c r="W137" s="61"/>
      <c r="X137" s="61"/>
      <c r="Y137" s="61"/>
      <c r="Z137" s="61"/>
      <c r="AA137" s="145"/>
      <c r="AB137" s="145"/>
      <c r="AC137" s="145"/>
      <c r="AD137" s="145"/>
      <c r="AE137" s="145"/>
    </row>
    <row r="138" spans="1:31" s="130" customFormat="1" x14ac:dyDescent="0.2">
      <c r="A138" s="180">
        <f t="shared" si="61"/>
        <v>121</v>
      </c>
      <c r="B138" s="141" t="s">
        <v>289</v>
      </c>
      <c r="C138" s="141">
        <v>3</v>
      </c>
      <c r="D138" s="128">
        <f t="shared" si="50"/>
        <v>3800</v>
      </c>
      <c r="E138" s="128">
        <f t="shared" si="51"/>
        <v>3900</v>
      </c>
      <c r="F138" s="128">
        <f t="shared" si="52"/>
        <v>4570</v>
      </c>
      <c r="G138" s="168">
        <f t="shared" si="53"/>
        <v>3120</v>
      </c>
      <c r="H138" s="128">
        <f t="shared" si="54"/>
        <v>4337</v>
      </c>
      <c r="I138" s="127">
        <f t="shared" si="55"/>
        <v>6855</v>
      </c>
      <c r="J138" s="127">
        <f t="shared" si="56"/>
        <v>5700</v>
      </c>
      <c r="K138" s="127">
        <f t="shared" si="57"/>
        <v>5850</v>
      </c>
      <c r="L138" s="178">
        <f t="shared" si="58"/>
        <v>4680</v>
      </c>
      <c r="M138" s="127">
        <f t="shared" si="59"/>
        <v>6505.5</v>
      </c>
      <c r="N138" s="127" t="str">
        <f t="shared" si="60"/>
        <v>нет</v>
      </c>
      <c r="O138" s="21"/>
      <c r="P138"/>
      <c r="Q138"/>
      <c r="R138" s="61"/>
      <c r="S138" s="61"/>
      <c r="T138" s="61"/>
      <c r="U138" s="61"/>
      <c r="V138" s="61"/>
      <c r="W138" s="61"/>
      <c r="X138" s="61"/>
      <c r="Y138" s="61"/>
      <c r="Z138" s="61"/>
      <c r="AA138" s="145"/>
      <c r="AB138" s="145"/>
      <c r="AC138" s="145"/>
      <c r="AD138" s="145"/>
      <c r="AE138" s="145"/>
    </row>
    <row r="139" spans="1:31" s="130" customFormat="1" x14ac:dyDescent="0.2">
      <c r="A139" s="180">
        <f t="shared" si="61"/>
        <v>122</v>
      </c>
      <c r="B139" s="141" t="s">
        <v>290</v>
      </c>
      <c r="C139" s="141">
        <v>4</v>
      </c>
      <c r="D139" s="128">
        <f t="shared" si="50"/>
        <v>4500</v>
      </c>
      <c r="E139" s="128">
        <f t="shared" si="51"/>
        <v>4600</v>
      </c>
      <c r="F139" s="128">
        <f t="shared" si="52"/>
        <v>5500</v>
      </c>
      <c r="G139" s="168">
        <f t="shared" si="53"/>
        <v>3210</v>
      </c>
      <c r="H139" s="128">
        <f t="shared" si="54"/>
        <v>4487</v>
      </c>
      <c r="I139" s="127">
        <f t="shared" si="55"/>
        <v>8250</v>
      </c>
      <c r="J139" s="127">
        <f t="shared" si="56"/>
        <v>6750</v>
      </c>
      <c r="K139" s="127">
        <f t="shared" si="57"/>
        <v>6900</v>
      </c>
      <c r="L139" s="178">
        <f t="shared" si="58"/>
        <v>4815</v>
      </c>
      <c r="M139" s="127">
        <f t="shared" si="59"/>
        <v>6730.5</v>
      </c>
      <c r="N139" s="127" t="str">
        <f t="shared" si="60"/>
        <v>нет</v>
      </c>
      <c r="O139" s="21"/>
      <c r="P139"/>
      <c r="Q139"/>
      <c r="R139" s="61"/>
      <c r="S139" s="61"/>
      <c r="T139" s="61"/>
      <c r="U139" s="61"/>
      <c r="V139" s="61"/>
      <c r="W139" s="61"/>
      <c r="X139" s="61"/>
      <c r="Y139" s="61"/>
      <c r="Z139" s="61"/>
      <c r="AA139" s="145"/>
      <c r="AB139" s="145"/>
      <c r="AC139" s="145"/>
      <c r="AD139" s="145"/>
      <c r="AE139" s="145"/>
    </row>
    <row r="140" spans="1:31" s="130" customFormat="1" x14ac:dyDescent="0.2">
      <c r="A140" s="180">
        <f t="shared" si="61"/>
        <v>123</v>
      </c>
      <c r="B140" s="141" t="s">
        <v>367</v>
      </c>
      <c r="C140" s="141">
        <v>4</v>
      </c>
      <c r="D140" s="128">
        <f t="shared" si="50"/>
        <v>4500</v>
      </c>
      <c r="E140" s="128">
        <f t="shared" si="51"/>
        <v>4600</v>
      </c>
      <c r="F140" s="128">
        <f t="shared" si="52"/>
        <v>5500</v>
      </c>
      <c r="G140" s="168">
        <f t="shared" si="53"/>
        <v>3210</v>
      </c>
      <c r="H140" s="128">
        <f t="shared" si="54"/>
        <v>4487</v>
      </c>
      <c r="I140" s="127">
        <f t="shared" si="55"/>
        <v>8250</v>
      </c>
      <c r="J140" s="127">
        <f t="shared" si="56"/>
        <v>6750</v>
      </c>
      <c r="K140" s="127">
        <f t="shared" si="57"/>
        <v>6900</v>
      </c>
      <c r="L140" s="178">
        <f t="shared" si="58"/>
        <v>4815</v>
      </c>
      <c r="M140" s="127">
        <f t="shared" si="59"/>
        <v>6730.5</v>
      </c>
      <c r="N140" s="127" t="str">
        <f t="shared" si="60"/>
        <v>нет</v>
      </c>
      <c r="O140" s="21"/>
      <c r="P140"/>
      <c r="Q140"/>
      <c r="R140" s="61"/>
      <c r="S140" s="61"/>
      <c r="T140" s="61"/>
      <c r="U140" s="61"/>
      <c r="V140" s="61"/>
      <c r="W140" s="61"/>
      <c r="X140" s="61"/>
      <c r="Y140" s="61"/>
      <c r="Z140" s="61"/>
      <c r="AA140" s="145"/>
      <c r="AB140" s="145"/>
      <c r="AC140" s="145"/>
      <c r="AD140" s="145"/>
      <c r="AE140" s="145"/>
    </row>
    <row r="141" spans="1:31" s="130" customFormat="1" x14ac:dyDescent="0.2">
      <c r="A141" s="180">
        <f t="shared" si="61"/>
        <v>124</v>
      </c>
      <c r="B141" s="141" t="s">
        <v>291</v>
      </c>
      <c r="C141" s="141">
        <v>4</v>
      </c>
      <c r="D141" s="128">
        <f t="shared" si="50"/>
        <v>4500</v>
      </c>
      <c r="E141" s="128">
        <f t="shared" si="51"/>
        <v>4600</v>
      </c>
      <c r="F141" s="128">
        <f t="shared" si="52"/>
        <v>5500</v>
      </c>
      <c r="G141" s="168">
        <f t="shared" si="53"/>
        <v>3210</v>
      </c>
      <c r="H141" s="128">
        <f t="shared" si="54"/>
        <v>4487</v>
      </c>
      <c r="I141" s="127">
        <f t="shared" si="55"/>
        <v>8250</v>
      </c>
      <c r="J141" s="127">
        <f t="shared" si="56"/>
        <v>6750</v>
      </c>
      <c r="K141" s="127">
        <f t="shared" si="57"/>
        <v>6900</v>
      </c>
      <c r="L141" s="178">
        <f t="shared" si="58"/>
        <v>4815</v>
      </c>
      <c r="M141" s="127">
        <f t="shared" si="59"/>
        <v>6730.5</v>
      </c>
      <c r="N141" s="127" t="str">
        <f t="shared" si="60"/>
        <v>нет</v>
      </c>
      <c r="O141" s="21"/>
      <c r="P141"/>
      <c r="Q141"/>
      <c r="R141" s="61"/>
      <c r="S141" s="61"/>
      <c r="T141" s="61"/>
      <c r="U141" s="61"/>
      <c r="V141" s="61"/>
      <c r="W141" s="61"/>
      <c r="X141" s="61"/>
      <c r="Y141" s="61"/>
      <c r="Z141" s="61"/>
      <c r="AA141" s="145"/>
      <c r="AB141" s="145"/>
      <c r="AC141" s="145"/>
      <c r="AD141" s="145"/>
      <c r="AE141" s="145"/>
    </row>
    <row r="142" spans="1:31" s="130" customFormat="1" x14ac:dyDescent="0.2">
      <c r="A142" s="180">
        <f t="shared" si="61"/>
        <v>125</v>
      </c>
      <c r="B142" s="141" t="s">
        <v>292</v>
      </c>
      <c r="C142" s="141">
        <v>4</v>
      </c>
      <c r="D142" s="128">
        <f t="shared" si="50"/>
        <v>4500</v>
      </c>
      <c r="E142" s="128">
        <f t="shared" si="51"/>
        <v>4600</v>
      </c>
      <c r="F142" s="128">
        <f t="shared" si="52"/>
        <v>5500</v>
      </c>
      <c r="G142" s="168">
        <f t="shared" si="53"/>
        <v>3210</v>
      </c>
      <c r="H142" s="128">
        <f t="shared" si="54"/>
        <v>4487</v>
      </c>
      <c r="I142" s="127">
        <f t="shared" si="55"/>
        <v>8250</v>
      </c>
      <c r="J142" s="127">
        <f t="shared" si="56"/>
        <v>6750</v>
      </c>
      <c r="K142" s="127">
        <f t="shared" si="57"/>
        <v>6900</v>
      </c>
      <c r="L142" s="178">
        <f t="shared" si="58"/>
        <v>4815</v>
      </c>
      <c r="M142" s="127">
        <f t="shared" si="59"/>
        <v>6730.5</v>
      </c>
      <c r="N142" s="127" t="str">
        <f t="shared" si="60"/>
        <v>нет</v>
      </c>
      <c r="O142" s="21"/>
      <c r="P142"/>
      <c r="Q142"/>
      <c r="R142" s="61"/>
      <c r="S142" s="61"/>
      <c r="T142" s="61"/>
      <c r="U142" s="61"/>
      <c r="V142" s="61"/>
      <c r="W142" s="61"/>
      <c r="X142" s="61"/>
      <c r="Y142" s="61"/>
      <c r="Z142" s="61"/>
      <c r="AA142" s="145"/>
      <c r="AB142" s="145"/>
      <c r="AC142" s="145"/>
      <c r="AD142" s="145"/>
      <c r="AE142" s="145"/>
    </row>
    <row r="143" spans="1:31" s="130" customFormat="1" x14ac:dyDescent="0.2">
      <c r="A143" s="180">
        <f t="shared" si="61"/>
        <v>126</v>
      </c>
      <c r="B143" s="141" t="s">
        <v>460</v>
      </c>
      <c r="C143" s="141">
        <v>2</v>
      </c>
      <c r="D143" s="128">
        <f t="shared" si="50"/>
        <v>3400</v>
      </c>
      <c r="E143" s="128">
        <f t="shared" si="51"/>
        <v>3500</v>
      </c>
      <c r="F143" s="128">
        <f t="shared" si="52"/>
        <v>4170</v>
      </c>
      <c r="G143" s="168">
        <f t="shared" si="53"/>
        <v>3043</v>
      </c>
      <c r="H143" s="128">
        <f t="shared" si="54"/>
        <v>4187</v>
      </c>
      <c r="I143" s="127">
        <f t="shared" si="55"/>
        <v>6255</v>
      </c>
      <c r="J143" s="127">
        <f t="shared" si="56"/>
        <v>5100</v>
      </c>
      <c r="K143" s="127">
        <f t="shared" si="57"/>
        <v>5250</v>
      </c>
      <c r="L143" s="178">
        <f t="shared" si="58"/>
        <v>4564.5</v>
      </c>
      <c r="M143" s="127">
        <f t="shared" si="59"/>
        <v>6280.5</v>
      </c>
      <c r="N143" s="127" t="str">
        <f t="shared" si="60"/>
        <v>нет</v>
      </c>
      <c r="O143" s="21"/>
      <c r="P143"/>
      <c r="Q143"/>
      <c r="R143" s="61"/>
      <c r="S143" s="61"/>
      <c r="T143" s="61"/>
      <c r="U143" s="61"/>
      <c r="V143" s="61"/>
      <c r="W143" s="61"/>
      <c r="X143" s="61"/>
      <c r="Y143" s="61"/>
      <c r="Z143" s="61"/>
      <c r="AA143" s="145"/>
      <c r="AB143" s="145"/>
      <c r="AC143" s="145"/>
      <c r="AD143" s="145"/>
      <c r="AE143" s="145"/>
    </row>
    <row r="144" spans="1:31" s="130" customFormat="1" x14ac:dyDescent="0.2">
      <c r="A144" s="180">
        <f t="shared" si="61"/>
        <v>127</v>
      </c>
      <c r="B144" s="141" t="s">
        <v>393</v>
      </c>
      <c r="C144" s="141">
        <v>2</v>
      </c>
      <c r="D144" s="128">
        <f t="shared" si="50"/>
        <v>3400</v>
      </c>
      <c r="E144" s="128">
        <f t="shared" si="51"/>
        <v>3500</v>
      </c>
      <c r="F144" s="128">
        <f t="shared" si="52"/>
        <v>4170</v>
      </c>
      <c r="G144" s="168">
        <f t="shared" si="53"/>
        <v>3043</v>
      </c>
      <c r="H144" s="128">
        <f t="shared" si="54"/>
        <v>4187</v>
      </c>
      <c r="I144" s="127">
        <f t="shared" si="55"/>
        <v>6255</v>
      </c>
      <c r="J144" s="127">
        <f t="shared" si="56"/>
        <v>5100</v>
      </c>
      <c r="K144" s="127">
        <f t="shared" si="57"/>
        <v>5250</v>
      </c>
      <c r="L144" s="178">
        <f t="shared" si="58"/>
        <v>4564.5</v>
      </c>
      <c r="M144" s="127">
        <f t="shared" si="59"/>
        <v>6280.5</v>
      </c>
      <c r="N144" s="127" t="str">
        <f t="shared" si="60"/>
        <v>нет</v>
      </c>
      <c r="O144" s="21"/>
      <c r="P144"/>
      <c r="Q144"/>
      <c r="R144" s="61"/>
      <c r="S144" s="61"/>
      <c r="T144" s="61"/>
      <c r="U144" s="61"/>
      <c r="V144" s="61"/>
      <c r="W144" s="61"/>
      <c r="X144" s="61"/>
      <c r="Y144" s="61"/>
      <c r="Z144" s="61"/>
      <c r="AA144" s="145"/>
      <c r="AB144" s="145"/>
      <c r="AC144" s="145"/>
      <c r="AD144" s="145"/>
      <c r="AE144" s="145"/>
    </row>
    <row r="145" spans="1:31" s="130" customFormat="1" x14ac:dyDescent="0.2">
      <c r="A145" s="180">
        <f t="shared" si="61"/>
        <v>128</v>
      </c>
      <c r="B145" s="141" t="s">
        <v>461</v>
      </c>
      <c r="C145" s="141">
        <v>2</v>
      </c>
      <c r="D145" s="128">
        <f t="shared" si="50"/>
        <v>3400</v>
      </c>
      <c r="E145" s="128">
        <f t="shared" si="51"/>
        <v>3500</v>
      </c>
      <c r="F145" s="128">
        <f t="shared" si="52"/>
        <v>4170</v>
      </c>
      <c r="G145" s="168">
        <f t="shared" si="53"/>
        <v>3043</v>
      </c>
      <c r="H145" s="128">
        <f t="shared" si="54"/>
        <v>4187</v>
      </c>
      <c r="I145" s="127">
        <f t="shared" si="55"/>
        <v>6255</v>
      </c>
      <c r="J145" s="127">
        <f t="shared" si="56"/>
        <v>5100</v>
      </c>
      <c r="K145" s="127">
        <f t="shared" si="57"/>
        <v>5250</v>
      </c>
      <c r="L145" s="178">
        <f t="shared" si="58"/>
        <v>4564.5</v>
      </c>
      <c r="M145" s="127">
        <f t="shared" si="59"/>
        <v>6280.5</v>
      </c>
      <c r="N145" s="127" t="str">
        <f t="shared" si="60"/>
        <v>нет</v>
      </c>
      <c r="O145" s="21"/>
      <c r="P145"/>
      <c r="Q145"/>
      <c r="R145" s="61"/>
      <c r="S145" s="61"/>
      <c r="T145" s="61"/>
      <c r="U145" s="61"/>
      <c r="V145" s="61"/>
      <c r="W145" s="61"/>
      <c r="X145" s="61"/>
      <c r="Y145" s="61"/>
      <c r="Z145" s="61"/>
      <c r="AA145" s="145"/>
      <c r="AB145" s="145"/>
      <c r="AC145" s="145"/>
      <c r="AD145" s="145"/>
      <c r="AE145" s="145"/>
    </row>
    <row r="146" spans="1:31" s="130" customFormat="1" x14ac:dyDescent="0.2">
      <c r="A146" s="180">
        <f t="shared" si="61"/>
        <v>129</v>
      </c>
      <c r="B146" s="141" t="s">
        <v>464</v>
      </c>
      <c r="C146" s="141">
        <v>2</v>
      </c>
      <c r="D146" s="128">
        <f t="shared" si="50"/>
        <v>3400</v>
      </c>
      <c r="E146" s="128">
        <f t="shared" si="51"/>
        <v>3500</v>
      </c>
      <c r="F146" s="128">
        <f t="shared" si="52"/>
        <v>4170</v>
      </c>
      <c r="G146" s="168">
        <f t="shared" si="53"/>
        <v>3043</v>
      </c>
      <c r="H146" s="128">
        <f t="shared" si="54"/>
        <v>4187</v>
      </c>
      <c r="I146" s="127">
        <f t="shared" si="55"/>
        <v>6255</v>
      </c>
      <c r="J146" s="127">
        <f t="shared" si="56"/>
        <v>5100</v>
      </c>
      <c r="K146" s="127">
        <f t="shared" si="57"/>
        <v>5250</v>
      </c>
      <c r="L146" s="178">
        <f t="shared" si="58"/>
        <v>4564.5</v>
      </c>
      <c r="M146" s="127">
        <f t="shared" si="59"/>
        <v>6280.5</v>
      </c>
      <c r="N146" s="127" t="str">
        <f t="shared" si="60"/>
        <v>нет</v>
      </c>
      <c r="O146" s="21"/>
      <c r="P146"/>
      <c r="Q146"/>
      <c r="R146" s="61"/>
      <c r="S146" s="61"/>
      <c r="T146" s="61"/>
      <c r="U146" s="61"/>
      <c r="V146" s="61"/>
      <c r="W146" s="61"/>
      <c r="X146" s="61"/>
      <c r="Y146" s="61"/>
      <c r="Z146" s="61"/>
      <c r="AA146" s="145"/>
      <c r="AB146" s="145"/>
      <c r="AC146" s="145"/>
      <c r="AD146" s="145"/>
      <c r="AE146" s="145"/>
    </row>
    <row r="147" spans="1:31" s="130" customFormat="1" x14ac:dyDescent="0.2">
      <c r="A147" s="180">
        <f t="shared" si="61"/>
        <v>130</v>
      </c>
      <c r="B147" s="141" t="s">
        <v>465</v>
      </c>
      <c r="C147" s="141">
        <v>4</v>
      </c>
      <c r="D147" s="128">
        <f t="shared" si="50"/>
        <v>4500</v>
      </c>
      <c r="E147" s="128">
        <f t="shared" si="51"/>
        <v>4600</v>
      </c>
      <c r="F147" s="128">
        <f t="shared" si="52"/>
        <v>5500</v>
      </c>
      <c r="G147" s="168">
        <f t="shared" si="53"/>
        <v>3210</v>
      </c>
      <c r="H147" s="128">
        <f t="shared" si="54"/>
        <v>4487</v>
      </c>
      <c r="I147" s="127">
        <f t="shared" si="55"/>
        <v>8250</v>
      </c>
      <c r="J147" s="127">
        <f t="shared" si="56"/>
        <v>6750</v>
      </c>
      <c r="K147" s="127">
        <f t="shared" si="57"/>
        <v>6900</v>
      </c>
      <c r="L147" s="178">
        <f t="shared" si="58"/>
        <v>4815</v>
      </c>
      <c r="M147" s="127">
        <f t="shared" si="59"/>
        <v>6730.5</v>
      </c>
      <c r="N147" s="127" t="str">
        <f t="shared" si="60"/>
        <v>нет</v>
      </c>
      <c r="O147" s="21"/>
      <c r="P147"/>
      <c r="Q147"/>
      <c r="R147" s="61"/>
      <c r="S147" s="61"/>
      <c r="T147" s="61"/>
      <c r="U147" s="61"/>
      <c r="V147" s="61"/>
      <c r="W147" s="61"/>
      <c r="X147" s="61"/>
      <c r="Y147" s="61"/>
      <c r="Z147" s="61"/>
      <c r="AA147" s="145"/>
      <c r="AB147" s="145"/>
      <c r="AC147" s="145"/>
      <c r="AD147" s="145"/>
      <c r="AE147" s="145"/>
    </row>
    <row r="148" spans="1:31" s="130" customFormat="1" x14ac:dyDescent="0.2">
      <c r="A148" s="180">
        <f t="shared" ref="A148:A193" si="62">A147+1</f>
        <v>131</v>
      </c>
      <c r="B148" s="141" t="s">
        <v>466</v>
      </c>
      <c r="C148" s="141">
        <v>4</v>
      </c>
      <c r="D148" s="128">
        <f t="shared" si="50"/>
        <v>4500</v>
      </c>
      <c r="E148" s="128">
        <f t="shared" si="51"/>
        <v>4600</v>
      </c>
      <c r="F148" s="128">
        <f t="shared" si="52"/>
        <v>5500</v>
      </c>
      <c r="G148" s="168">
        <f t="shared" si="53"/>
        <v>3210</v>
      </c>
      <c r="H148" s="128">
        <f t="shared" si="54"/>
        <v>4487</v>
      </c>
      <c r="I148" s="127">
        <f t="shared" si="55"/>
        <v>8250</v>
      </c>
      <c r="J148" s="127">
        <f t="shared" si="56"/>
        <v>6750</v>
      </c>
      <c r="K148" s="127">
        <f t="shared" si="57"/>
        <v>6900</v>
      </c>
      <c r="L148" s="178">
        <f t="shared" si="58"/>
        <v>4815</v>
      </c>
      <c r="M148" s="127">
        <f t="shared" si="59"/>
        <v>6730.5</v>
      </c>
      <c r="N148" s="127" t="str">
        <f t="shared" si="60"/>
        <v>нет</v>
      </c>
      <c r="O148" s="21"/>
      <c r="P148"/>
      <c r="Q148"/>
      <c r="R148" s="61"/>
      <c r="S148" s="61"/>
      <c r="T148" s="61"/>
      <c r="U148" s="61"/>
      <c r="V148" s="61"/>
      <c r="W148" s="61"/>
      <c r="X148" s="61"/>
      <c r="Y148" s="61"/>
      <c r="Z148" s="61"/>
      <c r="AA148" s="145"/>
      <c r="AB148" s="145"/>
      <c r="AC148" s="145"/>
      <c r="AD148" s="145"/>
      <c r="AE148" s="145"/>
    </row>
    <row r="149" spans="1:31" s="130" customFormat="1" x14ac:dyDescent="0.2">
      <c r="A149" s="180">
        <f t="shared" si="62"/>
        <v>132</v>
      </c>
      <c r="B149" s="141" t="s">
        <v>462</v>
      </c>
      <c r="C149" s="141">
        <v>2</v>
      </c>
      <c r="D149" s="128">
        <f t="shared" si="50"/>
        <v>3400</v>
      </c>
      <c r="E149" s="128">
        <f t="shared" si="51"/>
        <v>3500</v>
      </c>
      <c r="F149" s="128">
        <f t="shared" si="52"/>
        <v>4170</v>
      </c>
      <c r="G149" s="168">
        <f t="shared" si="53"/>
        <v>3043</v>
      </c>
      <c r="H149" s="128">
        <f t="shared" si="54"/>
        <v>4187</v>
      </c>
      <c r="I149" s="127">
        <f t="shared" si="55"/>
        <v>6255</v>
      </c>
      <c r="J149" s="127">
        <f t="shared" si="56"/>
        <v>5100</v>
      </c>
      <c r="K149" s="127">
        <f t="shared" si="57"/>
        <v>5250</v>
      </c>
      <c r="L149" s="178">
        <f t="shared" si="58"/>
        <v>4564.5</v>
      </c>
      <c r="M149" s="127">
        <f t="shared" si="59"/>
        <v>6280.5</v>
      </c>
      <c r="N149" s="127" t="str">
        <f t="shared" si="60"/>
        <v>нет</v>
      </c>
      <c r="O149" s="21"/>
      <c r="P149"/>
      <c r="Q149"/>
      <c r="R149" s="61"/>
      <c r="S149" s="61"/>
      <c r="T149" s="61"/>
      <c r="U149" s="61"/>
      <c r="V149" s="61"/>
      <c r="W149" s="61"/>
      <c r="X149" s="61"/>
      <c r="Y149" s="61"/>
      <c r="Z149" s="61"/>
      <c r="AA149" s="145"/>
      <c r="AB149" s="145"/>
      <c r="AC149" s="145"/>
      <c r="AD149" s="145"/>
      <c r="AE149" s="145"/>
    </row>
    <row r="150" spans="1:31" s="130" customFormat="1" x14ac:dyDescent="0.2">
      <c r="A150" s="180">
        <f t="shared" si="62"/>
        <v>133</v>
      </c>
      <c r="B150" s="141" t="s">
        <v>467</v>
      </c>
      <c r="C150" s="141">
        <v>2</v>
      </c>
      <c r="D150" s="128">
        <f t="shared" si="50"/>
        <v>3400</v>
      </c>
      <c r="E150" s="128">
        <f t="shared" si="51"/>
        <v>3500</v>
      </c>
      <c r="F150" s="128">
        <f t="shared" si="52"/>
        <v>4170</v>
      </c>
      <c r="G150" s="168">
        <f t="shared" si="53"/>
        <v>3043</v>
      </c>
      <c r="H150" s="128">
        <f t="shared" si="54"/>
        <v>4187</v>
      </c>
      <c r="I150" s="127">
        <f t="shared" si="55"/>
        <v>6255</v>
      </c>
      <c r="J150" s="127">
        <f t="shared" si="56"/>
        <v>5100</v>
      </c>
      <c r="K150" s="127">
        <f t="shared" si="57"/>
        <v>5250</v>
      </c>
      <c r="L150" s="178">
        <f t="shared" si="58"/>
        <v>4564.5</v>
      </c>
      <c r="M150" s="127">
        <f t="shared" si="59"/>
        <v>6280.5</v>
      </c>
      <c r="N150" s="127" t="str">
        <f t="shared" si="60"/>
        <v>нет</v>
      </c>
      <c r="O150" s="21"/>
      <c r="P150"/>
      <c r="Q150"/>
      <c r="R150" s="61"/>
      <c r="S150" s="61"/>
      <c r="T150" s="61"/>
      <c r="U150" s="61"/>
      <c r="V150" s="61"/>
      <c r="W150" s="61"/>
      <c r="X150" s="61"/>
      <c r="Y150" s="61"/>
      <c r="Z150" s="61"/>
      <c r="AA150" s="145"/>
      <c r="AB150" s="145"/>
      <c r="AC150" s="145"/>
      <c r="AD150" s="145"/>
      <c r="AE150" s="145"/>
    </row>
    <row r="151" spans="1:31" s="130" customFormat="1" x14ac:dyDescent="0.2">
      <c r="A151" s="180">
        <f t="shared" si="62"/>
        <v>134</v>
      </c>
      <c r="B151" s="141" t="s">
        <v>293</v>
      </c>
      <c r="C151" s="141">
        <v>2</v>
      </c>
      <c r="D151" s="128">
        <f t="shared" si="50"/>
        <v>3400</v>
      </c>
      <c r="E151" s="128">
        <f t="shared" si="51"/>
        <v>3500</v>
      </c>
      <c r="F151" s="128">
        <f t="shared" si="52"/>
        <v>4170</v>
      </c>
      <c r="G151" s="168">
        <f t="shared" si="53"/>
        <v>3043</v>
      </c>
      <c r="H151" s="128">
        <f t="shared" si="54"/>
        <v>4187</v>
      </c>
      <c r="I151" s="127">
        <f t="shared" si="55"/>
        <v>6255</v>
      </c>
      <c r="J151" s="127">
        <f t="shared" si="56"/>
        <v>5100</v>
      </c>
      <c r="K151" s="127">
        <f t="shared" si="57"/>
        <v>5250</v>
      </c>
      <c r="L151" s="178">
        <f t="shared" si="58"/>
        <v>4564.5</v>
      </c>
      <c r="M151" s="127">
        <f t="shared" si="59"/>
        <v>6280.5</v>
      </c>
      <c r="N151" s="127" t="str">
        <f t="shared" si="60"/>
        <v>нет</v>
      </c>
      <c r="O151" s="21"/>
      <c r="P151"/>
      <c r="Q151"/>
      <c r="R151" s="61"/>
      <c r="S151" s="61"/>
      <c r="T151" s="61"/>
      <c r="U151" s="61"/>
      <c r="V151" s="61"/>
      <c r="W151" s="61"/>
      <c r="X151" s="61"/>
      <c r="Y151" s="61"/>
      <c r="Z151" s="61"/>
      <c r="AA151" s="145"/>
      <c r="AB151" s="145"/>
      <c r="AC151" s="145"/>
      <c r="AD151" s="145"/>
      <c r="AE151" s="145"/>
    </row>
    <row r="152" spans="1:31" s="130" customFormat="1" x14ac:dyDescent="0.2">
      <c r="A152" s="180">
        <f t="shared" si="62"/>
        <v>135</v>
      </c>
      <c r="B152" s="141" t="s">
        <v>294</v>
      </c>
      <c r="C152" s="141">
        <v>2</v>
      </c>
      <c r="D152" s="128">
        <f t="shared" si="50"/>
        <v>3400</v>
      </c>
      <c r="E152" s="128">
        <f t="shared" si="51"/>
        <v>3500</v>
      </c>
      <c r="F152" s="128">
        <f t="shared" si="52"/>
        <v>4170</v>
      </c>
      <c r="G152" s="168">
        <f t="shared" si="53"/>
        <v>3043</v>
      </c>
      <c r="H152" s="128">
        <f t="shared" si="54"/>
        <v>4187</v>
      </c>
      <c r="I152" s="127">
        <f t="shared" si="55"/>
        <v>6255</v>
      </c>
      <c r="J152" s="127">
        <f t="shared" si="56"/>
        <v>5100</v>
      </c>
      <c r="K152" s="127">
        <f t="shared" si="57"/>
        <v>5250</v>
      </c>
      <c r="L152" s="178">
        <f t="shared" si="58"/>
        <v>4564.5</v>
      </c>
      <c r="M152" s="127">
        <f t="shared" si="59"/>
        <v>6280.5</v>
      </c>
      <c r="N152" s="127" t="str">
        <f t="shared" si="60"/>
        <v>нет</v>
      </c>
      <c r="O152" s="21"/>
      <c r="P152"/>
      <c r="Q152"/>
      <c r="R152" s="61"/>
      <c r="S152" s="61"/>
      <c r="T152" s="61"/>
      <c r="U152" s="61"/>
      <c r="V152" s="61"/>
      <c r="W152" s="61"/>
      <c r="X152" s="61"/>
      <c r="Y152" s="61"/>
      <c r="Z152" s="61"/>
      <c r="AA152" s="145"/>
      <c r="AB152" s="145"/>
      <c r="AC152" s="145"/>
      <c r="AD152" s="145"/>
      <c r="AE152" s="145"/>
    </row>
    <row r="153" spans="1:31" s="130" customFormat="1" x14ac:dyDescent="0.2">
      <c r="A153" s="180">
        <f t="shared" si="62"/>
        <v>136</v>
      </c>
      <c r="B153" s="141" t="s">
        <v>295</v>
      </c>
      <c r="C153" s="141">
        <v>2</v>
      </c>
      <c r="D153" s="128">
        <f t="shared" si="50"/>
        <v>3400</v>
      </c>
      <c r="E153" s="128">
        <f t="shared" si="51"/>
        <v>3500</v>
      </c>
      <c r="F153" s="128">
        <f t="shared" si="52"/>
        <v>4170</v>
      </c>
      <c r="G153" s="168">
        <f t="shared" si="53"/>
        <v>3043</v>
      </c>
      <c r="H153" s="128">
        <f t="shared" si="54"/>
        <v>4187</v>
      </c>
      <c r="I153" s="127">
        <f t="shared" si="55"/>
        <v>6255</v>
      </c>
      <c r="J153" s="127">
        <f t="shared" si="56"/>
        <v>5100</v>
      </c>
      <c r="K153" s="127">
        <f t="shared" si="57"/>
        <v>5250</v>
      </c>
      <c r="L153" s="178">
        <f t="shared" si="58"/>
        <v>4564.5</v>
      </c>
      <c r="M153" s="127">
        <f t="shared" si="59"/>
        <v>6280.5</v>
      </c>
      <c r="N153" s="127" t="str">
        <f t="shared" si="60"/>
        <v>нет</v>
      </c>
      <c r="O153" s="21"/>
      <c r="P153"/>
      <c r="Q153"/>
      <c r="R153" s="61"/>
      <c r="S153" s="61"/>
      <c r="T153" s="61"/>
      <c r="U153" s="61"/>
      <c r="V153" s="61"/>
      <c r="W153" s="61"/>
      <c r="X153" s="61"/>
      <c r="Y153" s="61"/>
      <c r="Z153" s="61"/>
      <c r="AA153" s="145"/>
      <c r="AB153" s="145"/>
      <c r="AC153" s="145"/>
      <c r="AD153" s="145"/>
      <c r="AE153" s="145"/>
    </row>
    <row r="154" spans="1:31" s="130" customFormat="1" x14ac:dyDescent="0.2">
      <c r="A154" s="180">
        <f t="shared" si="62"/>
        <v>137</v>
      </c>
      <c r="B154" s="141" t="s">
        <v>304</v>
      </c>
      <c r="C154" s="141">
        <v>2</v>
      </c>
      <c r="D154" s="128">
        <f t="shared" si="50"/>
        <v>3400</v>
      </c>
      <c r="E154" s="128">
        <f t="shared" si="51"/>
        <v>3500</v>
      </c>
      <c r="F154" s="128">
        <f t="shared" si="52"/>
        <v>4170</v>
      </c>
      <c r="G154" s="168">
        <f t="shared" si="53"/>
        <v>3043</v>
      </c>
      <c r="H154" s="128">
        <f t="shared" si="54"/>
        <v>4187</v>
      </c>
      <c r="I154" s="127">
        <f t="shared" si="55"/>
        <v>6255</v>
      </c>
      <c r="J154" s="127">
        <f t="shared" si="56"/>
        <v>5100</v>
      </c>
      <c r="K154" s="127">
        <f t="shared" si="57"/>
        <v>5250</v>
      </c>
      <c r="L154" s="178">
        <f t="shared" si="58"/>
        <v>4564.5</v>
      </c>
      <c r="M154" s="127">
        <f t="shared" si="59"/>
        <v>6280.5</v>
      </c>
      <c r="N154" s="127" t="str">
        <f t="shared" si="60"/>
        <v>нет</v>
      </c>
      <c r="O154" s="21"/>
      <c r="P154"/>
      <c r="Q154"/>
      <c r="R154" s="61"/>
      <c r="S154" s="61"/>
      <c r="T154" s="61"/>
      <c r="U154" s="61"/>
      <c r="V154" s="61"/>
      <c r="W154" s="61"/>
      <c r="X154" s="61"/>
      <c r="Y154" s="61"/>
      <c r="Z154" s="61"/>
      <c r="AA154" s="145"/>
      <c r="AB154" s="145"/>
      <c r="AC154" s="145"/>
      <c r="AD154" s="145"/>
      <c r="AE154" s="145"/>
    </row>
    <row r="155" spans="1:31" s="130" customFormat="1" x14ac:dyDescent="0.2">
      <c r="A155" s="180">
        <f t="shared" si="62"/>
        <v>138</v>
      </c>
      <c r="B155" s="141" t="s">
        <v>305</v>
      </c>
      <c r="C155" s="141">
        <v>2</v>
      </c>
      <c r="D155" s="128">
        <f t="shared" si="50"/>
        <v>3400</v>
      </c>
      <c r="E155" s="128">
        <f t="shared" si="51"/>
        <v>3500</v>
      </c>
      <c r="F155" s="128">
        <f t="shared" si="52"/>
        <v>4170</v>
      </c>
      <c r="G155" s="168">
        <f t="shared" si="53"/>
        <v>3043</v>
      </c>
      <c r="H155" s="128">
        <f t="shared" si="54"/>
        <v>4187</v>
      </c>
      <c r="I155" s="127">
        <f t="shared" si="55"/>
        <v>6255</v>
      </c>
      <c r="J155" s="127">
        <f t="shared" si="56"/>
        <v>5100</v>
      </c>
      <c r="K155" s="127">
        <f t="shared" si="57"/>
        <v>5250</v>
      </c>
      <c r="L155" s="178">
        <f t="shared" si="58"/>
        <v>4564.5</v>
      </c>
      <c r="M155" s="127">
        <f t="shared" si="59"/>
        <v>6280.5</v>
      </c>
      <c r="N155" s="127" t="str">
        <f t="shared" si="60"/>
        <v>нет</v>
      </c>
      <c r="O155" s="21"/>
      <c r="P155"/>
      <c r="Q155"/>
      <c r="R155" s="61"/>
      <c r="S155" s="61"/>
      <c r="T155" s="61"/>
      <c r="U155" s="61"/>
      <c r="V155" s="61"/>
      <c r="W155" s="61"/>
      <c r="X155" s="61"/>
      <c r="Y155" s="61"/>
      <c r="Z155" s="61"/>
      <c r="AA155" s="145"/>
      <c r="AB155" s="145"/>
      <c r="AC155" s="145"/>
      <c r="AD155" s="145"/>
      <c r="AE155" s="145"/>
    </row>
    <row r="156" spans="1:31" s="130" customFormat="1" x14ac:dyDescent="0.2">
      <c r="A156" s="180">
        <f t="shared" si="62"/>
        <v>139</v>
      </c>
      <c r="B156" s="141" t="s">
        <v>468</v>
      </c>
      <c r="C156" s="141">
        <v>2</v>
      </c>
      <c r="D156" s="128">
        <f t="shared" si="50"/>
        <v>3400</v>
      </c>
      <c r="E156" s="128">
        <f t="shared" si="51"/>
        <v>3500</v>
      </c>
      <c r="F156" s="128">
        <f t="shared" si="52"/>
        <v>4170</v>
      </c>
      <c r="G156" s="168">
        <f t="shared" si="53"/>
        <v>3043</v>
      </c>
      <c r="H156" s="128">
        <f t="shared" si="54"/>
        <v>4187</v>
      </c>
      <c r="I156" s="127">
        <f t="shared" si="55"/>
        <v>6255</v>
      </c>
      <c r="J156" s="127">
        <f t="shared" si="56"/>
        <v>5100</v>
      </c>
      <c r="K156" s="127">
        <f t="shared" si="57"/>
        <v>5250</v>
      </c>
      <c r="L156" s="178">
        <f t="shared" si="58"/>
        <v>4564.5</v>
      </c>
      <c r="M156" s="127">
        <f t="shared" si="59"/>
        <v>6280.5</v>
      </c>
      <c r="N156" s="127" t="str">
        <f t="shared" si="60"/>
        <v>нет</v>
      </c>
      <c r="O156" s="21"/>
      <c r="P156"/>
      <c r="Q156"/>
      <c r="R156" s="61"/>
      <c r="S156" s="61"/>
      <c r="T156" s="61"/>
      <c r="U156" s="61"/>
      <c r="V156" s="61"/>
      <c r="W156" s="61"/>
      <c r="X156" s="61"/>
      <c r="Y156" s="61"/>
      <c r="Z156" s="61"/>
      <c r="AA156" s="145"/>
      <c r="AB156" s="145"/>
      <c r="AC156" s="145"/>
      <c r="AD156" s="145"/>
      <c r="AE156" s="145"/>
    </row>
    <row r="157" spans="1:31" s="130" customFormat="1" x14ac:dyDescent="0.2">
      <c r="A157" s="180">
        <f t="shared" si="62"/>
        <v>140</v>
      </c>
      <c r="B157" s="141" t="s">
        <v>469</v>
      </c>
      <c r="C157" s="141">
        <v>2</v>
      </c>
      <c r="D157" s="128">
        <f t="shared" si="50"/>
        <v>3400</v>
      </c>
      <c r="E157" s="128">
        <f t="shared" si="51"/>
        <v>3500</v>
      </c>
      <c r="F157" s="128">
        <f t="shared" si="52"/>
        <v>4170</v>
      </c>
      <c r="G157" s="168">
        <f t="shared" si="53"/>
        <v>3043</v>
      </c>
      <c r="H157" s="128">
        <f t="shared" si="54"/>
        <v>4187</v>
      </c>
      <c r="I157" s="127">
        <f t="shared" si="55"/>
        <v>6255</v>
      </c>
      <c r="J157" s="127">
        <f t="shared" si="56"/>
        <v>5100</v>
      </c>
      <c r="K157" s="127">
        <f t="shared" si="57"/>
        <v>5250</v>
      </c>
      <c r="L157" s="178">
        <f t="shared" si="58"/>
        <v>4564.5</v>
      </c>
      <c r="M157" s="127">
        <f t="shared" si="59"/>
        <v>6280.5</v>
      </c>
      <c r="N157" s="127" t="str">
        <f t="shared" si="60"/>
        <v>нет</v>
      </c>
      <c r="O157" s="21"/>
      <c r="P157"/>
      <c r="Q157"/>
      <c r="R157" s="61"/>
      <c r="S157" s="61"/>
      <c r="T157" s="61"/>
      <c r="U157" s="61"/>
      <c r="V157" s="61"/>
      <c r="W157" s="61"/>
      <c r="X157" s="61"/>
      <c r="Y157" s="61"/>
      <c r="Z157" s="61"/>
      <c r="AA157" s="145"/>
      <c r="AB157" s="145"/>
      <c r="AC157" s="145"/>
      <c r="AD157" s="145"/>
      <c r="AE157" s="145"/>
    </row>
    <row r="158" spans="1:31" s="130" customFormat="1" x14ac:dyDescent="0.2">
      <c r="A158" s="180">
        <f t="shared" si="62"/>
        <v>141</v>
      </c>
      <c r="B158" s="141" t="s">
        <v>470</v>
      </c>
      <c r="C158" s="141">
        <v>2</v>
      </c>
      <c r="D158" s="128">
        <f t="shared" si="50"/>
        <v>3400</v>
      </c>
      <c r="E158" s="128">
        <f t="shared" si="51"/>
        <v>3500</v>
      </c>
      <c r="F158" s="128">
        <f t="shared" si="52"/>
        <v>4170</v>
      </c>
      <c r="G158" s="168">
        <f t="shared" si="53"/>
        <v>3043</v>
      </c>
      <c r="H158" s="128">
        <f t="shared" si="54"/>
        <v>4187</v>
      </c>
      <c r="I158" s="127">
        <f t="shared" si="55"/>
        <v>6255</v>
      </c>
      <c r="J158" s="127">
        <f t="shared" si="56"/>
        <v>5100</v>
      </c>
      <c r="K158" s="127">
        <f t="shared" si="57"/>
        <v>5250</v>
      </c>
      <c r="L158" s="178">
        <f t="shared" si="58"/>
        <v>4564.5</v>
      </c>
      <c r="M158" s="127">
        <f t="shared" si="59"/>
        <v>6280.5</v>
      </c>
      <c r="N158" s="127" t="str">
        <f t="shared" si="60"/>
        <v>нет</v>
      </c>
      <c r="O158" s="21"/>
      <c r="P158"/>
      <c r="Q158"/>
      <c r="R158" s="61"/>
      <c r="S158" s="61"/>
      <c r="T158" s="61"/>
      <c r="U158" s="61"/>
      <c r="V158" s="61"/>
      <c r="W158" s="61"/>
      <c r="X158" s="61"/>
      <c r="Y158" s="61"/>
      <c r="Z158" s="61"/>
      <c r="AA158" s="145"/>
      <c r="AB158" s="145"/>
      <c r="AC158" s="145"/>
      <c r="AD158" s="145"/>
      <c r="AE158" s="145"/>
    </row>
    <row r="159" spans="1:31" s="130" customFormat="1" x14ac:dyDescent="0.2">
      <c r="A159" s="180">
        <f t="shared" si="62"/>
        <v>142</v>
      </c>
      <c r="B159" s="141" t="s">
        <v>471</v>
      </c>
      <c r="C159" s="141">
        <v>2</v>
      </c>
      <c r="D159" s="128">
        <f t="shared" si="50"/>
        <v>3400</v>
      </c>
      <c r="E159" s="128">
        <f t="shared" si="51"/>
        <v>3500</v>
      </c>
      <c r="F159" s="128">
        <f t="shared" si="52"/>
        <v>4170</v>
      </c>
      <c r="G159" s="168">
        <f t="shared" si="53"/>
        <v>3043</v>
      </c>
      <c r="H159" s="128">
        <f t="shared" si="54"/>
        <v>4187</v>
      </c>
      <c r="I159" s="127">
        <f t="shared" si="55"/>
        <v>6255</v>
      </c>
      <c r="J159" s="127">
        <f t="shared" si="56"/>
        <v>5100</v>
      </c>
      <c r="K159" s="127">
        <f t="shared" si="57"/>
        <v>5250</v>
      </c>
      <c r="L159" s="178">
        <f t="shared" si="58"/>
        <v>4564.5</v>
      </c>
      <c r="M159" s="127">
        <f t="shared" si="59"/>
        <v>6280.5</v>
      </c>
      <c r="N159" s="127" t="str">
        <f t="shared" si="60"/>
        <v>нет</v>
      </c>
      <c r="O159" s="21"/>
      <c r="P159"/>
      <c r="Q159"/>
      <c r="R159" s="61"/>
      <c r="S159" s="61"/>
      <c r="T159" s="61"/>
      <c r="U159" s="61"/>
      <c r="V159" s="61"/>
      <c r="W159" s="61"/>
      <c r="X159" s="61"/>
      <c r="Y159" s="61"/>
      <c r="Z159" s="61"/>
      <c r="AA159" s="145"/>
      <c r="AB159" s="145"/>
      <c r="AC159" s="145"/>
      <c r="AD159" s="145"/>
      <c r="AE159" s="145"/>
    </row>
    <row r="160" spans="1:31" s="130" customFormat="1" x14ac:dyDescent="0.2">
      <c r="A160" s="180">
        <f t="shared" si="62"/>
        <v>143</v>
      </c>
      <c r="B160" s="141" t="s">
        <v>472</v>
      </c>
      <c r="C160" s="141">
        <v>2</v>
      </c>
      <c r="D160" s="128">
        <f t="shared" si="50"/>
        <v>3400</v>
      </c>
      <c r="E160" s="128">
        <f t="shared" si="51"/>
        <v>3500</v>
      </c>
      <c r="F160" s="128">
        <f t="shared" si="52"/>
        <v>4170</v>
      </c>
      <c r="G160" s="168">
        <f t="shared" si="53"/>
        <v>3043</v>
      </c>
      <c r="H160" s="128">
        <f t="shared" si="54"/>
        <v>4187</v>
      </c>
      <c r="I160" s="127">
        <f t="shared" si="55"/>
        <v>6255</v>
      </c>
      <c r="J160" s="127">
        <f t="shared" si="56"/>
        <v>5100</v>
      </c>
      <c r="K160" s="127">
        <f t="shared" si="57"/>
        <v>5250</v>
      </c>
      <c r="L160" s="178">
        <f t="shared" si="58"/>
        <v>4564.5</v>
      </c>
      <c r="M160" s="127">
        <f t="shared" si="59"/>
        <v>6280.5</v>
      </c>
      <c r="N160" s="127" t="str">
        <f t="shared" si="60"/>
        <v>нет</v>
      </c>
      <c r="O160" s="21"/>
      <c r="P160"/>
      <c r="Q160"/>
      <c r="R160" s="61"/>
      <c r="S160" s="61"/>
      <c r="T160" s="61"/>
      <c r="U160" s="61"/>
      <c r="V160" s="61"/>
      <c r="W160" s="61"/>
      <c r="X160" s="61"/>
      <c r="Y160" s="61"/>
      <c r="Z160" s="61"/>
      <c r="AA160" s="145"/>
      <c r="AB160" s="145"/>
      <c r="AC160" s="145"/>
      <c r="AD160" s="145"/>
      <c r="AE160" s="145"/>
    </row>
    <row r="161" spans="1:31" s="130" customFormat="1" x14ac:dyDescent="0.2">
      <c r="A161" s="180">
        <f t="shared" si="62"/>
        <v>144</v>
      </c>
      <c r="B161" s="145" t="s">
        <v>386</v>
      </c>
      <c r="C161" s="141">
        <v>1</v>
      </c>
      <c r="D161" s="128">
        <f t="shared" si="50"/>
        <v>2900</v>
      </c>
      <c r="E161" s="128">
        <f t="shared" si="51"/>
        <v>3000</v>
      </c>
      <c r="F161" s="128">
        <f t="shared" si="52"/>
        <v>3670</v>
      </c>
      <c r="G161" s="168">
        <f t="shared" si="53"/>
        <v>3013</v>
      </c>
      <c r="H161" s="128">
        <f t="shared" si="54"/>
        <v>4087</v>
      </c>
      <c r="I161" s="127">
        <f t="shared" si="55"/>
        <v>5505</v>
      </c>
      <c r="J161" s="127">
        <f t="shared" si="56"/>
        <v>4350</v>
      </c>
      <c r="K161" s="127">
        <f t="shared" si="57"/>
        <v>4500</v>
      </c>
      <c r="L161" s="178">
        <f t="shared" si="58"/>
        <v>4519.5</v>
      </c>
      <c r="M161" s="127">
        <f t="shared" si="59"/>
        <v>6130.5</v>
      </c>
      <c r="N161" s="127" t="str">
        <f t="shared" si="60"/>
        <v>нет</v>
      </c>
      <c r="O161" s="21"/>
      <c r="P161"/>
      <c r="Q161"/>
      <c r="R161" s="61"/>
      <c r="S161" s="61"/>
      <c r="T161" s="61"/>
      <c r="U161" s="61"/>
      <c r="V161" s="61"/>
      <c r="W161" s="61"/>
      <c r="X161" s="61"/>
      <c r="Y161" s="61"/>
      <c r="Z161" s="61"/>
      <c r="AA161" s="145"/>
      <c r="AB161" s="145"/>
      <c r="AC161" s="145"/>
      <c r="AD161" s="145"/>
      <c r="AE161" s="145"/>
    </row>
    <row r="162" spans="1:31" s="130" customFormat="1" x14ac:dyDescent="0.2">
      <c r="A162" s="180">
        <f t="shared" si="62"/>
        <v>145</v>
      </c>
      <c r="B162" s="145" t="s">
        <v>433</v>
      </c>
      <c r="C162" s="141">
        <v>4</v>
      </c>
      <c r="D162" s="128">
        <f t="shared" si="50"/>
        <v>4500</v>
      </c>
      <c r="E162" s="128">
        <f t="shared" si="51"/>
        <v>4600</v>
      </c>
      <c r="F162" s="128">
        <f t="shared" si="52"/>
        <v>5500</v>
      </c>
      <c r="G162" s="168">
        <f t="shared" si="53"/>
        <v>3210</v>
      </c>
      <c r="H162" s="128">
        <f t="shared" si="54"/>
        <v>4487</v>
      </c>
      <c r="I162" s="127">
        <f t="shared" si="55"/>
        <v>8250</v>
      </c>
      <c r="J162" s="127">
        <f t="shared" si="56"/>
        <v>6750</v>
      </c>
      <c r="K162" s="127">
        <f t="shared" si="57"/>
        <v>6900</v>
      </c>
      <c r="L162" s="178">
        <f t="shared" si="58"/>
        <v>4815</v>
      </c>
      <c r="M162" s="127">
        <f t="shared" si="59"/>
        <v>6730.5</v>
      </c>
      <c r="N162" s="127" t="str">
        <f t="shared" si="60"/>
        <v>нет</v>
      </c>
      <c r="O162" s="21"/>
      <c r="P162"/>
      <c r="Q162"/>
      <c r="R162" s="61"/>
      <c r="S162" s="61"/>
      <c r="T162" s="61"/>
      <c r="U162" s="61"/>
      <c r="V162" s="61"/>
      <c r="W162" s="61"/>
      <c r="X162" s="61"/>
      <c r="Y162" s="61"/>
      <c r="Z162" s="61"/>
      <c r="AA162" s="145"/>
      <c r="AB162" s="145"/>
      <c r="AC162" s="145"/>
      <c r="AD162" s="145"/>
      <c r="AE162" s="145"/>
    </row>
    <row r="163" spans="1:31" s="130" customFormat="1" x14ac:dyDescent="0.2">
      <c r="A163" s="180">
        <f t="shared" si="62"/>
        <v>146</v>
      </c>
      <c r="B163" s="145" t="s">
        <v>473</v>
      </c>
      <c r="C163" s="141">
        <v>4</v>
      </c>
      <c r="D163" s="128">
        <f t="shared" si="50"/>
        <v>4500</v>
      </c>
      <c r="E163" s="128">
        <f t="shared" si="51"/>
        <v>4600</v>
      </c>
      <c r="F163" s="128">
        <f t="shared" si="52"/>
        <v>5500</v>
      </c>
      <c r="G163" s="168">
        <f t="shared" si="53"/>
        <v>3210</v>
      </c>
      <c r="H163" s="128">
        <f t="shared" si="54"/>
        <v>4487</v>
      </c>
      <c r="I163" s="127">
        <f t="shared" si="55"/>
        <v>8250</v>
      </c>
      <c r="J163" s="127">
        <f t="shared" si="56"/>
        <v>6750</v>
      </c>
      <c r="K163" s="127">
        <f t="shared" si="57"/>
        <v>6900</v>
      </c>
      <c r="L163" s="178">
        <f t="shared" si="58"/>
        <v>4815</v>
      </c>
      <c r="M163" s="127">
        <f t="shared" si="59"/>
        <v>6730.5</v>
      </c>
      <c r="N163" s="127" t="str">
        <f t="shared" si="60"/>
        <v>нет</v>
      </c>
      <c r="O163" s="21"/>
      <c r="P163"/>
      <c r="Q163"/>
      <c r="R163" s="61"/>
      <c r="S163" s="61"/>
      <c r="T163" s="61"/>
      <c r="U163" s="61"/>
      <c r="V163" s="61"/>
      <c r="W163" s="61"/>
      <c r="X163" s="61"/>
      <c r="Y163" s="61"/>
      <c r="Z163" s="61"/>
      <c r="AA163" s="145"/>
      <c r="AB163" s="145"/>
      <c r="AC163" s="145"/>
      <c r="AD163" s="145"/>
      <c r="AE163" s="145"/>
    </row>
    <row r="164" spans="1:31" s="130" customFormat="1" x14ac:dyDescent="0.2">
      <c r="A164" s="180">
        <f t="shared" si="62"/>
        <v>147</v>
      </c>
      <c r="B164" s="145" t="s">
        <v>474</v>
      </c>
      <c r="C164" s="141">
        <v>4</v>
      </c>
      <c r="D164" s="128">
        <f t="shared" si="50"/>
        <v>4500</v>
      </c>
      <c r="E164" s="128">
        <f t="shared" si="51"/>
        <v>4600</v>
      </c>
      <c r="F164" s="128">
        <f t="shared" si="52"/>
        <v>5500</v>
      </c>
      <c r="G164" s="168">
        <f t="shared" si="53"/>
        <v>3210</v>
      </c>
      <c r="H164" s="128">
        <f t="shared" si="54"/>
        <v>4487</v>
      </c>
      <c r="I164" s="127">
        <f t="shared" si="55"/>
        <v>8250</v>
      </c>
      <c r="J164" s="127">
        <f t="shared" si="56"/>
        <v>6750</v>
      </c>
      <c r="K164" s="127">
        <f t="shared" si="57"/>
        <v>6900</v>
      </c>
      <c r="L164" s="178">
        <f t="shared" si="58"/>
        <v>4815</v>
      </c>
      <c r="M164" s="127">
        <f t="shared" si="59"/>
        <v>6730.5</v>
      </c>
      <c r="N164" s="127" t="str">
        <f t="shared" si="60"/>
        <v>нет</v>
      </c>
      <c r="O164" s="21"/>
      <c r="P164"/>
      <c r="Q164"/>
      <c r="R164" s="61"/>
      <c r="S164" s="61"/>
      <c r="T164" s="61"/>
      <c r="U164" s="61"/>
      <c r="V164" s="61"/>
      <c r="W164" s="61"/>
      <c r="X164" s="61"/>
      <c r="Y164" s="61"/>
      <c r="Z164" s="61"/>
      <c r="AA164" s="145"/>
      <c r="AB164" s="145"/>
      <c r="AC164" s="145"/>
      <c r="AD164" s="145"/>
      <c r="AE164" s="145"/>
    </row>
    <row r="165" spans="1:31" s="130" customFormat="1" x14ac:dyDescent="0.2">
      <c r="A165" s="180">
        <f t="shared" si="62"/>
        <v>148</v>
      </c>
      <c r="B165" s="145" t="s">
        <v>312</v>
      </c>
      <c r="C165" s="141">
        <v>4</v>
      </c>
      <c r="D165" s="128">
        <f t="shared" si="50"/>
        <v>4500</v>
      </c>
      <c r="E165" s="128">
        <f t="shared" si="51"/>
        <v>4600</v>
      </c>
      <c r="F165" s="128">
        <f t="shared" si="52"/>
        <v>5500</v>
      </c>
      <c r="G165" s="168">
        <f t="shared" si="53"/>
        <v>3210</v>
      </c>
      <c r="H165" s="128">
        <f t="shared" si="54"/>
        <v>4487</v>
      </c>
      <c r="I165" s="127">
        <f t="shared" si="55"/>
        <v>8250</v>
      </c>
      <c r="J165" s="127">
        <f t="shared" si="56"/>
        <v>6750</v>
      </c>
      <c r="K165" s="127">
        <f t="shared" si="57"/>
        <v>6900</v>
      </c>
      <c r="L165" s="178">
        <f t="shared" si="58"/>
        <v>4815</v>
      </c>
      <c r="M165" s="127">
        <f t="shared" si="59"/>
        <v>6730.5</v>
      </c>
      <c r="N165" s="127" t="str">
        <f t="shared" si="60"/>
        <v>нет</v>
      </c>
      <c r="O165" s="21"/>
      <c r="P165"/>
      <c r="Q165"/>
      <c r="R165" s="61"/>
      <c r="S165" s="61"/>
      <c r="T165" s="61"/>
      <c r="U165" s="61"/>
      <c r="V165" s="61"/>
      <c r="W165" s="61"/>
      <c r="X165" s="61"/>
      <c r="Y165" s="61"/>
      <c r="Z165" s="61"/>
      <c r="AA165" s="145"/>
      <c r="AB165" s="145"/>
      <c r="AC165" s="145"/>
      <c r="AD165" s="145"/>
      <c r="AE165" s="145"/>
    </row>
    <row r="166" spans="1:31" s="130" customFormat="1" x14ac:dyDescent="0.2">
      <c r="A166" s="180">
        <f t="shared" si="62"/>
        <v>149</v>
      </c>
      <c r="B166" s="145" t="s">
        <v>313</v>
      </c>
      <c r="C166" s="141">
        <v>4</v>
      </c>
      <c r="D166" s="128">
        <f t="shared" si="50"/>
        <v>4500</v>
      </c>
      <c r="E166" s="128">
        <f t="shared" si="51"/>
        <v>4600</v>
      </c>
      <c r="F166" s="128">
        <f t="shared" si="52"/>
        <v>5500</v>
      </c>
      <c r="G166" s="168">
        <f t="shared" si="53"/>
        <v>3210</v>
      </c>
      <c r="H166" s="128">
        <f t="shared" si="54"/>
        <v>4487</v>
      </c>
      <c r="I166" s="127">
        <f t="shared" si="55"/>
        <v>8250</v>
      </c>
      <c r="J166" s="127">
        <f t="shared" si="56"/>
        <v>6750</v>
      </c>
      <c r="K166" s="127">
        <f t="shared" si="57"/>
        <v>6900</v>
      </c>
      <c r="L166" s="178">
        <f t="shared" si="58"/>
        <v>4815</v>
      </c>
      <c r="M166" s="127">
        <f t="shared" si="59"/>
        <v>6730.5</v>
      </c>
      <c r="N166" s="127" t="str">
        <f t="shared" si="60"/>
        <v>нет</v>
      </c>
      <c r="O166" s="21"/>
      <c r="P166"/>
      <c r="Q166"/>
      <c r="R166" s="61"/>
      <c r="S166" s="61"/>
      <c r="T166" s="61"/>
      <c r="U166" s="61"/>
      <c r="V166" s="61"/>
      <c r="W166" s="61"/>
      <c r="X166" s="61"/>
      <c r="Y166" s="61"/>
      <c r="Z166" s="61"/>
      <c r="AA166" s="145"/>
      <c r="AB166" s="145"/>
      <c r="AC166" s="145"/>
      <c r="AD166" s="145"/>
      <c r="AE166" s="145"/>
    </row>
    <row r="167" spans="1:31" s="130" customFormat="1" x14ac:dyDescent="0.2">
      <c r="A167" s="180">
        <f t="shared" si="62"/>
        <v>150</v>
      </c>
      <c r="B167" s="145" t="s">
        <v>449</v>
      </c>
      <c r="C167" s="141">
        <v>4</v>
      </c>
      <c r="D167" s="128">
        <f t="shared" si="50"/>
        <v>4500</v>
      </c>
      <c r="E167" s="128">
        <f t="shared" si="51"/>
        <v>4600</v>
      </c>
      <c r="F167" s="128">
        <f t="shared" si="52"/>
        <v>5500</v>
      </c>
      <c r="G167" s="168">
        <f t="shared" si="53"/>
        <v>3210</v>
      </c>
      <c r="H167" s="128">
        <f t="shared" si="54"/>
        <v>4487</v>
      </c>
      <c r="I167" s="127">
        <f t="shared" si="55"/>
        <v>8250</v>
      </c>
      <c r="J167" s="127">
        <f t="shared" si="56"/>
        <v>6750</v>
      </c>
      <c r="K167" s="127">
        <f t="shared" si="57"/>
        <v>6900</v>
      </c>
      <c r="L167" s="178">
        <f t="shared" si="58"/>
        <v>4815</v>
      </c>
      <c r="M167" s="127">
        <f t="shared" si="59"/>
        <v>6730.5</v>
      </c>
      <c r="N167" s="127" t="str">
        <f t="shared" si="60"/>
        <v>нет</v>
      </c>
      <c r="O167" s="21"/>
      <c r="P167"/>
      <c r="Q167"/>
      <c r="R167" s="61"/>
      <c r="S167" s="61"/>
      <c r="T167" s="61"/>
      <c r="U167" s="61"/>
      <c r="V167" s="61"/>
      <c r="W167" s="61"/>
      <c r="X167" s="61"/>
      <c r="Y167" s="61"/>
      <c r="Z167" s="61"/>
      <c r="AA167" s="145"/>
      <c r="AB167" s="145"/>
      <c r="AC167" s="145"/>
      <c r="AD167" s="145"/>
      <c r="AE167" s="145"/>
    </row>
    <row r="168" spans="1:31" s="130" customFormat="1" x14ac:dyDescent="0.2">
      <c r="A168" s="180">
        <f t="shared" si="62"/>
        <v>151</v>
      </c>
      <c r="B168" s="145" t="s">
        <v>314</v>
      </c>
      <c r="C168" s="141">
        <v>4</v>
      </c>
      <c r="D168" s="128">
        <f t="shared" si="50"/>
        <v>4500</v>
      </c>
      <c r="E168" s="128">
        <f t="shared" si="51"/>
        <v>4600</v>
      </c>
      <c r="F168" s="128">
        <f t="shared" si="52"/>
        <v>5500</v>
      </c>
      <c r="G168" s="168">
        <f t="shared" si="53"/>
        <v>3210</v>
      </c>
      <c r="H168" s="128">
        <f t="shared" si="54"/>
        <v>4487</v>
      </c>
      <c r="I168" s="127">
        <f t="shared" si="55"/>
        <v>8250</v>
      </c>
      <c r="J168" s="127">
        <f t="shared" si="56"/>
        <v>6750</v>
      </c>
      <c r="K168" s="127">
        <f t="shared" si="57"/>
        <v>6900</v>
      </c>
      <c r="L168" s="178">
        <f t="shared" si="58"/>
        <v>4815</v>
      </c>
      <c r="M168" s="127">
        <f t="shared" si="59"/>
        <v>6730.5</v>
      </c>
      <c r="N168" s="127" t="str">
        <f t="shared" si="60"/>
        <v>нет</v>
      </c>
      <c r="O168" s="21"/>
      <c r="P168"/>
      <c r="Q168"/>
      <c r="R168" s="61"/>
      <c r="S168" s="61"/>
      <c r="T168" s="61"/>
      <c r="U168" s="61"/>
      <c r="V168" s="61"/>
      <c r="W168" s="61"/>
      <c r="X168" s="61"/>
      <c r="Y168" s="61"/>
      <c r="Z168" s="61"/>
      <c r="AA168" s="145"/>
      <c r="AB168" s="145"/>
      <c r="AC168" s="145"/>
      <c r="AD168" s="145"/>
      <c r="AE168" s="145"/>
    </row>
    <row r="169" spans="1:31" s="130" customFormat="1" x14ac:dyDescent="0.2">
      <c r="A169" s="180">
        <f t="shared" si="62"/>
        <v>152</v>
      </c>
      <c r="B169" s="145" t="s">
        <v>315</v>
      </c>
      <c r="C169" s="141">
        <v>4</v>
      </c>
      <c r="D169" s="128">
        <f t="shared" si="50"/>
        <v>4500</v>
      </c>
      <c r="E169" s="128">
        <f t="shared" si="51"/>
        <v>4600</v>
      </c>
      <c r="F169" s="128">
        <f t="shared" si="52"/>
        <v>5500</v>
      </c>
      <c r="G169" s="168">
        <f t="shared" si="53"/>
        <v>3210</v>
      </c>
      <c r="H169" s="128">
        <f t="shared" si="54"/>
        <v>4487</v>
      </c>
      <c r="I169" s="127">
        <f t="shared" si="55"/>
        <v>8250</v>
      </c>
      <c r="J169" s="127">
        <f t="shared" si="56"/>
        <v>6750</v>
      </c>
      <c r="K169" s="127">
        <f t="shared" si="57"/>
        <v>6900</v>
      </c>
      <c r="L169" s="178">
        <f t="shared" si="58"/>
        <v>4815</v>
      </c>
      <c r="M169" s="127">
        <f t="shared" si="59"/>
        <v>6730.5</v>
      </c>
      <c r="N169" s="127" t="str">
        <f t="shared" si="60"/>
        <v>нет</v>
      </c>
      <c r="O169" s="21"/>
      <c r="P169"/>
      <c r="Q169"/>
      <c r="R169" s="61"/>
      <c r="S169" s="61"/>
      <c r="T169" s="61"/>
      <c r="U169" s="61"/>
      <c r="V169" s="61"/>
      <c r="W169" s="61"/>
      <c r="X169" s="61"/>
      <c r="Y169" s="61"/>
      <c r="Z169" s="61"/>
      <c r="AA169" s="145"/>
      <c r="AB169" s="145"/>
      <c r="AC169" s="145"/>
      <c r="AD169" s="145"/>
      <c r="AE169" s="145"/>
    </row>
    <row r="170" spans="1:31" s="130" customFormat="1" x14ac:dyDescent="0.2">
      <c r="A170" s="180">
        <f t="shared" si="62"/>
        <v>153</v>
      </c>
      <c r="B170" s="145" t="s">
        <v>316</v>
      </c>
      <c r="C170" s="141">
        <v>4</v>
      </c>
      <c r="D170" s="128">
        <f t="shared" si="50"/>
        <v>4500</v>
      </c>
      <c r="E170" s="128">
        <f t="shared" si="51"/>
        <v>4600</v>
      </c>
      <c r="F170" s="128">
        <f t="shared" si="52"/>
        <v>5500</v>
      </c>
      <c r="G170" s="168">
        <f t="shared" si="53"/>
        <v>3210</v>
      </c>
      <c r="H170" s="128">
        <f t="shared" si="54"/>
        <v>4487</v>
      </c>
      <c r="I170" s="127">
        <f t="shared" si="55"/>
        <v>8250</v>
      </c>
      <c r="J170" s="127">
        <f t="shared" si="56"/>
        <v>6750</v>
      </c>
      <c r="K170" s="127">
        <f t="shared" si="57"/>
        <v>6900</v>
      </c>
      <c r="L170" s="178">
        <f t="shared" si="58"/>
        <v>4815</v>
      </c>
      <c r="M170" s="127">
        <f t="shared" si="59"/>
        <v>6730.5</v>
      </c>
      <c r="N170" s="127" t="str">
        <f t="shared" si="60"/>
        <v>нет</v>
      </c>
      <c r="O170" s="21"/>
      <c r="P170" s="179"/>
      <c r="Q170" s="179"/>
      <c r="R170" s="61"/>
      <c r="S170" s="61"/>
      <c r="T170" s="61"/>
      <c r="U170" s="61"/>
      <c r="V170" s="61"/>
      <c r="W170" s="61"/>
      <c r="X170" s="61"/>
      <c r="Y170" s="61"/>
      <c r="Z170" s="61"/>
      <c r="AA170" s="145"/>
      <c r="AB170" s="145"/>
      <c r="AC170" s="145"/>
      <c r="AD170" s="145"/>
      <c r="AE170" s="145"/>
    </row>
    <row r="171" spans="1:31" s="130" customFormat="1" x14ac:dyDescent="0.2">
      <c r="A171" s="180">
        <f t="shared" si="62"/>
        <v>154</v>
      </c>
      <c r="B171" s="145" t="s">
        <v>317</v>
      </c>
      <c r="C171" s="141">
        <v>4</v>
      </c>
      <c r="D171" s="128">
        <f t="shared" si="50"/>
        <v>4500</v>
      </c>
      <c r="E171" s="128">
        <f t="shared" si="51"/>
        <v>4600</v>
      </c>
      <c r="F171" s="128">
        <f t="shared" si="52"/>
        <v>5500</v>
      </c>
      <c r="G171" s="168">
        <f t="shared" si="53"/>
        <v>3210</v>
      </c>
      <c r="H171" s="128">
        <f t="shared" si="54"/>
        <v>4487</v>
      </c>
      <c r="I171" s="127">
        <f t="shared" si="55"/>
        <v>8250</v>
      </c>
      <c r="J171" s="127">
        <f t="shared" si="56"/>
        <v>6750</v>
      </c>
      <c r="K171" s="127">
        <f t="shared" si="57"/>
        <v>6900</v>
      </c>
      <c r="L171" s="178">
        <f t="shared" si="58"/>
        <v>4815</v>
      </c>
      <c r="M171" s="127">
        <f t="shared" si="59"/>
        <v>6730.5</v>
      </c>
      <c r="N171" s="127" t="str">
        <f t="shared" si="60"/>
        <v>нет</v>
      </c>
      <c r="O171" s="21"/>
      <c r="P171" s="179"/>
      <c r="Q171" s="179"/>
      <c r="R171" s="61"/>
      <c r="S171" s="61"/>
      <c r="T171" s="61"/>
      <c r="U171" s="61"/>
      <c r="V171" s="61"/>
      <c r="W171" s="61"/>
      <c r="X171" s="61"/>
      <c r="Y171" s="61"/>
      <c r="Z171" s="61"/>
      <c r="AA171" s="145"/>
      <c r="AB171" s="145"/>
      <c r="AC171" s="145"/>
      <c r="AD171" s="145"/>
      <c r="AE171" s="145"/>
    </row>
    <row r="172" spans="1:31" s="130" customFormat="1" x14ac:dyDescent="0.2">
      <c r="A172" s="180">
        <f t="shared" si="62"/>
        <v>155</v>
      </c>
      <c r="B172" s="145" t="s">
        <v>318</v>
      </c>
      <c r="C172" s="141">
        <v>4</v>
      </c>
      <c r="D172" s="128">
        <f t="shared" si="50"/>
        <v>4500</v>
      </c>
      <c r="E172" s="128">
        <f t="shared" si="51"/>
        <v>4600</v>
      </c>
      <c r="F172" s="128">
        <f t="shared" si="52"/>
        <v>5500</v>
      </c>
      <c r="G172" s="168">
        <f t="shared" si="53"/>
        <v>3210</v>
      </c>
      <c r="H172" s="128">
        <f t="shared" si="54"/>
        <v>4487</v>
      </c>
      <c r="I172" s="127">
        <f t="shared" si="55"/>
        <v>8250</v>
      </c>
      <c r="J172" s="127">
        <f t="shared" si="56"/>
        <v>6750</v>
      </c>
      <c r="K172" s="127">
        <f t="shared" si="57"/>
        <v>6900</v>
      </c>
      <c r="L172" s="178">
        <f t="shared" si="58"/>
        <v>4815</v>
      </c>
      <c r="M172" s="127">
        <f t="shared" si="59"/>
        <v>6730.5</v>
      </c>
      <c r="N172" s="127" t="str">
        <f t="shared" si="60"/>
        <v>нет</v>
      </c>
      <c r="O172" s="21"/>
      <c r="P172" s="179"/>
      <c r="Q172" s="179"/>
      <c r="R172" s="61"/>
      <c r="S172" s="61"/>
      <c r="T172" s="61"/>
      <c r="U172" s="61"/>
      <c r="V172" s="61"/>
      <c r="W172" s="61"/>
      <c r="X172" s="61"/>
      <c r="Y172" s="61"/>
      <c r="Z172" s="61"/>
      <c r="AA172" s="145"/>
      <c r="AB172" s="145"/>
      <c r="AC172" s="145"/>
      <c r="AD172" s="145"/>
      <c r="AE172" s="145"/>
    </row>
    <row r="173" spans="1:31" s="130" customFormat="1" x14ac:dyDescent="0.2">
      <c r="A173" s="180">
        <f t="shared" si="62"/>
        <v>156</v>
      </c>
      <c r="B173" s="145" t="s">
        <v>319</v>
      </c>
      <c r="C173" s="141">
        <v>4</v>
      </c>
      <c r="D173" s="128">
        <f t="shared" si="50"/>
        <v>4500</v>
      </c>
      <c r="E173" s="128">
        <f t="shared" si="51"/>
        <v>4600</v>
      </c>
      <c r="F173" s="128">
        <f t="shared" si="52"/>
        <v>5500</v>
      </c>
      <c r="G173" s="168">
        <f t="shared" si="53"/>
        <v>3210</v>
      </c>
      <c r="H173" s="128">
        <f t="shared" si="54"/>
        <v>4487</v>
      </c>
      <c r="I173" s="127">
        <f t="shared" si="55"/>
        <v>8250</v>
      </c>
      <c r="J173" s="127">
        <f t="shared" si="56"/>
        <v>6750</v>
      </c>
      <c r="K173" s="127">
        <f t="shared" si="57"/>
        <v>6900</v>
      </c>
      <c r="L173" s="178">
        <f t="shared" si="58"/>
        <v>4815</v>
      </c>
      <c r="M173" s="127">
        <f t="shared" si="59"/>
        <v>6730.5</v>
      </c>
      <c r="N173" s="127" t="str">
        <f t="shared" si="60"/>
        <v>нет</v>
      </c>
      <c r="O173" s="21"/>
      <c r="P173" s="179"/>
      <c r="Q173" s="179"/>
      <c r="R173" s="61"/>
      <c r="S173" s="61"/>
      <c r="T173" s="61"/>
      <c r="U173" s="61"/>
      <c r="V173" s="61"/>
      <c r="W173" s="61"/>
      <c r="X173" s="61"/>
      <c r="Y173" s="61"/>
      <c r="Z173" s="61"/>
      <c r="AA173" s="145"/>
      <c r="AB173" s="145"/>
      <c r="AC173" s="145"/>
      <c r="AD173" s="145"/>
      <c r="AE173" s="145"/>
    </row>
    <row r="174" spans="1:31" s="130" customFormat="1" x14ac:dyDescent="0.2">
      <c r="A174" s="180">
        <f t="shared" si="62"/>
        <v>157</v>
      </c>
      <c r="B174" s="145" t="s">
        <v>320</v>
      </c>
      <c r="C174" s="141">
        <v>4</v>
      </c>
      <c r="D174" s="128">
        <f t="shared" si="50"/>
        <v>4500</v>
      </c>
      <c r="E174" s="128">
        <f t="shared" si="51"/>
        <v>4600</v>
      </c>
      <c r="F174" s="128">
        <f t="shared" si="52"/>
        <v>5500</v>
      </c>
      <c r="G174" s="168">
        <f t="shared" si="53"/>
        <v>3210</v>
      </c>
      <c r="H174" s="128">
        <f t="shared" si="54"/>
        <v>4487</v>
      </c>
      <c r="I174" s="127">
        <f t="shared" si="55"/>
        <v>8250</v>
      </c>
      <c r="J174" s="127">
        <f t="shared" si="56"/>
        <v>6750</v>
      </c>
      <c r="K174" s="127">
        <f t="shared" si="57"/>
        <v>6900</v>
      </c>
      <c r="L174" s="178">
        <f t="shared" si="58"/>
        <v>4815</v>
      </c>
      <c r="M174" s="127">
        <f t="shared" si="59"/>
        <v>6730.5</v>
      </c>
      <c r="N174" s="127" t="str">
        <f t="shared" si="60"/>
        <v>нет</v>
      </c>
      <c r="O174" s="21"/>
      <c r="P174" s="179"/>
      <c r="Q174" s="179"/>
      <c r="R174" s="61"/>
      <c r="S174" s="61"/>
      <c r="T174" s="61"/>
      <c r="U174" s="61"/>
      <c r="V174" s="61"/>
      <c r="W174" s="61"/>
      <c r="X174" s="61"/>
      <c r="Y174" s="61"/>
      <c r="Z174" s="61"/>
      <c r="AA174" s="145"/>
      <c r="AB174" s="145"/>
      <c r="AC174" s="145"/>
      <c r="AD174" s="145"/>
      <c r="AE174" s="145"/>
    </row>
    <row r="175" spans="1:31" s="130" customFormat="1" x14ac:dyDescent="0.2">
      <c r="A175" s="180">
        <f t="shared" si="62"/>
        <v>158</v>
      </c>
      <c r="B175" s="145" t="s">
        <v>321</v>
      </c>
      <c r="C175" s="141">
        <v>4</v>
      </c>
      <c r="D175" s="128">
        <f t="shared" si="50"/>
        <v>4500</v>
      </c>
      <c r="E175" s="128">
        <f t="shared" si="51"/>
        <v>4600</v>
      </c>
      <c r="F175" s="128">
        <f t="shared" si="52"/>
        <v>5500</v>
      </c>
      <c r="G175" s="168">
        <f t="shared" si="53"/>
        <v>3210</v>
      </c>
      <c r="H175" s="128">
        <f t="shared" si="54"/>
        <v>4487</v>
      </c>
      <c r="I175" s="127">
        <f t="shared" si="55"/>
        <v>8250</v>
      </c>
      <c r="J175" s="127">
        <f t="shared" si="56"/>
        <v>6750</v>
      </c>
      <c r="K175" s="127">
        <f t="shared" si="57"/>
        <v>6900</v>
      </c>
      <c r="L175" s="178">
        <f t="shared" si="58"/>
        <v>4815</v>
      </c>
      <c r="M175" s="127">
        <f t="shared" si="59"/>
        <v>6730.5</v>
      </c>
      <c r="N175" s="127" t="str">
        <f t="shared" si="60"/>
        <v>нет</v>
      </c>
      <c r="O175" s="21"/>
      <c r="P175" s="179"/>
      <c r="Q175" s="179"/>
      <c r="R175" s="61"/>
      <c r="S175" s="61"/>
      <c r="T175" s="61"/>
      <c r="U175" s="61"/>
      <c r="V175" s="61"/>
      <c r="W175" s="61"/>
      <c r="X175" s="61"/>
      <c r="Y175" s="61"/>
      <c r="Z175" s="61"/>
      <c r="AA175" s="145"/>
      <c r="AB175" s="145"/>
      <c r="AC175" s="145"/>
      <c r="AD175" s="145"/>
      <c r="AE175" s="145"/>
    </row>
    <row r="176" spans="1:31" s="130" customFormat="1" x14ac:dyDescent="0.2">
      <c r="A176" s="180">
        <f t="shared" si="62"/>
        <v>159</v>
      </c>
      <c r="B176" s="145" t="s">
        <v>322</v>
      </c>
      <c r="C176" s="141">
        <v>4</v>
      </c>
      <c r="D176" s="128">
        <f t="shared" si="50"/>
        <v>4500</v>
      </c>
      <c r="E176" s="128">
        <f t="shared" si="51"/>
        <v>4600</v>
      </c>
      <c r="F176" s="128">
        <f t="shared" si="52"/>
        <v>5500</v>
      </c>
      <c r="G176" s="168">
        <f t="shared" si="53"/>
        <v>3210</v>
      </c>
      <c r="H176" s="128">
        <f t="shared" si="54"/>
        <v>4487</v>
      </c>
      <c r="I176" s="127">
        <f t="shared" si="55"/>
        <v>8250</v>
      </c>
      <c r="J176" s="127">
        <f t="shared" si="56"/>
        <v>6750</v>
      </c>
      <c r="K176" s="127">
        <f t="shared" si="57"/>
        <v>6900</v>
      </c>
      <c r="L176" s="178">
        <f t="shared" si="58"/>
        <v>4815</v>
      </c>
      <c r="M176" s="127">
        <f t="shared" si="59"/>
        <v>6730.5</v>
      </c>
      <c r="N176" s="127" t="str">
        <f t="shared" si="60"/>
        <v>нет</v>
      </c>
      <c r="O176" s="21"/>
      <c r="P176" s="179"/>
      <c r="Q176" s="179"/>
      <c r="R176" s="61"/>
      <c r="S176" s="61"/>
      <c r="T176" s="61"/>
      <c r="U176" s="61"/>
      <c r="V176" s="61"/>
      <c r="W176" s="61"/>
      <c r="X176" s="61"/>
      <c r="Y176" s="61"/>
      <c r="Z176" s="61"/>
      <c r="AA176" s="145"/>
      <c r="AB176" s="145"/>
      <c r="AC176" s="145"/>
      <c r="AD176" s="145"/>
      <c r="AE176" s="145"/>
    </row>
    <row r="177" spans="1:31" s="130" customFormat="1" x14ac:dyDescent="0.2">
      <c r="A177" s="180">
        <f t="shared" si="62"/>
        <v>160</v>
      </c>
      <c r="B177" s="145" t="s">
        <v>323</v>
      </c>
      <c r="C177" s="141">
        <v>4</v>
      </c>
      <c r="D177" s="128">
        <f t="shared" si="50"/>
        <v>4500</v>
      </c>
      <c r="E177" s="128">
        <f t="shared" si="51"/>
        <v>4600</v>
      </c>
      <c r="F177" s="128">
        <f t="shared" si="52"/>
        <v>5500</v>
      </c>
      <c r="G177" s="168">
        <f t="shared" si="53"/>
        <v>3210</v>
      </c>
      <c r="H177" s="128">
        <f t="shared" si="54"/>
        <v>4487</v>
      </c>
      <c r="I177" s="127">
        <f t="shared" si="55"/>
        <v>8250</v>
      </c>
      <c r="J177" s="127">
        <f t="shared" si="56"/>
        <v>6750</v>
      </c>
      <c r="K177" s="127">
        <f t="shared" si="57"/>
        <v>6900</v>
      </c>
      <c r="L177" s="178">
        <f t="shared" si="58"/>
        <v>4815</v>
      </c>
      <c r="M177" s="127">
        <f t="shared" si="59"/>
        <v>6730.5</v>
      </c>
      <c r="N177" s="127" t="str">
        <f t="shared" si="60"/>
        <v>нет</v>
      </c>
      <c r="O177" s="21"/>
      <c r="P177" s="179"/>
      <c r="Q177" s="179"/>
      <c r="R177" s="61"/>
      <c r="S177" s="61"/>
      <c r="T177" s="61"/>
      <c r="U177" s="61"/>
      <c r="V177" s="61"/>
      <c r="W177" s="61"/>
      <c r="X177" s="61"/>
      <c r="Y177" s="61"/>
      <c r="Z177" s="61"/>
      <c r="AA177" s="145"/>
      <c r="AB177" s="145"/>
      <c r="AC177" s="145"/>
      <c r="AD177" s="145"/>
      <c r="AE177" s="145"/>
    </row>
    <row r="178" spans="1:31" s="130" customFormat="1" x14ac:dyDescent="0.2">
      <c r="A178" s="180">
        <f t="shared" si="62"/>
        <v>161</v>
      </c>
      <c r="B178" s="145" t="s">
        <v>324</v>
      </c>
      <c r="C178" s="141">
        <v>4</v>
      </c>
      <c r="D178" s="128">
        <f t="shared" si="50"/>
        <v>4500</v>
      </c>
      <c r="E178" s="128">
        <f t="shared" si="51"/>
        <v>4600</v>
      </c>
      <c r="F178" s="128">
        <f t="shared" si="52"/>
        <v>5500</v>
      </c>
      <c r="G178" s="168">
        <f t="shared" si="53"/>
        <v>3210</v>
      </c>
      <c r="H178" s="128">
        <f t="shared" si="54"/>
        <v>4487</v>
      </c>
      <c r="I178" s="127">
        <f t="shared" si="55"/>
        <v>8250</v>
      </c>
      <c r="J178" s="127">
        <f t="shared" si="56"/>
        <v>6750</v>
      </c>
      <c r="K178" s="127">
        <f t="shared" si="57"/>
        <v>6900</v>
      </c>
      <c r="L178" s="178">
        <f t="shared" si="58"/>
        <v>4815</v>
      </c>
      <c r="M178" s="127">
        <f t="shared" si="59"/>
        <v>6730.5</v>
      </c>
      <c r="N178" s="127" t="str">
        <f t="shared" si="60"/>
        <v>нет</v>
      </c>
      <c r="O178" s="21"/>
      <c r="P178" s="179"/>
      <c r="Q178" s="179"/>
      <c r="R178" s="61"/>
      <c r="S178" s="61"/>
      <c r="T178" s="61"/>
      <c r="U178" s="61"/>
      <c r="V178" s="61"/>
      <c r="W178" s="61"/>
      <c r="X178" s="61"/>
      <c r="Y178" s="61"/>
      <c r="Z178" s="61"/>
      <c r="AA178" s="145"/>
      <c r="AB178" s="145"/>
      <c r="AC178" s="145"/>
      <c r="AD178" s="145"/>
      <c r="AE178" s="145"/>
    </row>
    <row r="179" spans="1:31" s="130" customFormat="1" x14ac:dyDescent="0.2">
      <c r="A179" s="180">
        <f t="shared" si="62"/>
        <v>162</v>
      </c>
      <c r="B179" s="145" t="s">
        <v>325</v>
      </c>
      <c r="C179" s="141">
        <v>4</v>
      </c>
      <c r="D179" s="128">
        <f t="shared" si="50"/>
        <v>4500</v>
      </c>
      <c r="E179" s="128">
        <f t="shared" si="51"/>
        <v>4600</v>
      </c>
      <c r="F179" s="128">
        <f t="shared" si="52"/>
        <v>5500</v>
      </c>
      <c r="G179" s="168">
        <f t="shared" si="53"/>
        <v>3210</v>
      </c>
      <c r="H179" s="128">
        <f t="shared" si="54"/>
        <v>4487</v>
      </c>
      <c r="I179" s="127">
        <f t="shared" si="55"/>
        <v>8250</v>
      </c>
      <c r="J179" s="127">
        <f t="shared" si="56"/>
        <v>6750</v>
      </c>
      <c r="K179" s="127">
        <f t="shared" si="57"/>
        <v>6900</v>
      </c>
      <c r="L179" s="178">
        <f t="shared" si="58"/>
        <v>4815</v>
      </c>
      <c r="M179" s="127">
        <f t="shared" si="59"/>
        <v>6730.5</v>
      </c>
      <c r="N179" s="127" t="str">
        <f t="shared" si="60"/>
        <v>нет</v>
      </c>
      <c r="O179" s="21"/>
      <c r="P179" s="179"/>
      <c r="Q179" s="179"/>
      <c r="R179" s="61"/>
      <c r="S179" s="61"/>
      <c r="T179" s="61"/>
      <c r="U179" s="61"/>
      <c r="V179" s="61"/>
      <c r="W179" s="61"/>
      <c r="X179" s="61"/>
      <c r="Y179" s="61"/>
      <c r="Z179" s="61"/>
      <c r="AA179" s="145"/>
      <c r="AB179" s="145"/>
      <c r="AC179" s="145"/>
      <c r="AD179" s="145"/>
      <c r="AE179" s="145"/>
    </row>
    <row r="180" spans="1:31" s="130" customFormat="1" x14ac:dyDescent="0.2">
      <c r="A180" s="180">
        <f t="shared" si="62"/>
        <v>163</v>
      </c>
      <c r="B180" s="145" t="s">
        <v>326</v>
      </c>
      <c r="C180" s="141">
        <v>4</v>
      </c>
      <c r="D180" s="128">
        <f t="shared" si="50"/>
        <v>4500</v>
      </c>
      <c r="E180" s="128">
        <f t="shared" si="51"/>
        <v>4600</v>
      </c>
      <c r="F180" s="128">
        <f t="shared" si="52"/>
        <v>5500</v>
      </c>
      <c r="G180" s="168">
        <f t="shared" si="53"/>
        <v>3210</v>
      </c>
      <c r="H180" s="128">
        <f t="shared" si="54"/>
        <v>4487</v>
      </c>
      <c r="I180" s="127">
        <f t="shared" si="55"/>
        <v>8250</v>
      </c>
      <c r="J180" s="127">
        <f t="shared" si="56"/>
        <v>6750</v>
      </c>
      <c r="K180" s="127">
        <f t="shared" si="57"/>
        <v>6900</v>
      </c>
      <c r="L180" s="178">
        <f t="shared" si="58"/>
        <v>4815</v>
      </c>
      <c r="M180" s="127">
        <f t="shared" si="59"/>
        <v>6730.5</v>
      </c>
      <c r="N180" s="127" t="str">
        <f t="shared" si="60"/>
        <v>нет</v>
      </c>
      <c r="O180" s="21"/>
      <c r="P180" s="179"/>
      <c r="Q180" s="179"/>
      <c r="R180" s="61"/>
      <c r="S180" s="61"/>
      <c r="T180" s="61"/>
      <c r="U180" s="61"/>
      <c r="V180" s="61"/>
      <c r="W180" s="61"/>
      <c r="X180" s="61"/>
      <c r="Y180" s="61"/>
      <c r="Z180" s="61"/>
      <c r="AA180" s="145"/>
      <c r="AB180" s="145"/>
      <c r="AC180" s="145"/>
      <c r="AD180" s="145"/>
      <c r="AE180" s="145"/>
    </row>
    <row r="181" spans="1:31" s="130" customFormat="1" x14ac:dyDescent="0.2">
      <c r="A181" s="180">
        <f t="shared" si="62"/>
        <v>164</v>
      </c>
      <c r="B181" s="145" t="s">
        <v>327</v>
      </c>
      <c r="C181" s="141">
        <v>4</v>
      </c>
      <c r="D181" s="128">
        <f t="shared" si="50"/>
        <v>4500</v>
      </c>
      <c r="E181" s="128">
        <f t="shared" si="51"/>
        <v>4600</v>
      </c>
      <c r="F181" s="128">
        <f t="shared" si="52"/>
        <v>5500</v>
      </c>
      <c r="G181" s="168">
        <f t="shared" si="53"/>
        <v>3210</v>
      </c>
      <c r="H181" s="128">
        <f t="shared" si="54"/>
        <v>4487</v>
      </c>
      <c r="I181" s="127">
        <f t="shared" si="55"/>
        <v>8250</v>
      </c>
      <c r="J181" s="127">
        <f t="shared" si="56"/>
        <v>6750</v>
      </c>
      <c r="K181" s="127">
        <f t="shared" si="57"/>
        <v>6900</v>
      </c>
      <c r="L181" s="178">
        <f t="shared" si="58"/>
        <v>4815</v>
      </c>
      <c r="M181" s="127">
        <f t="shared" si="59"/>
        <v>6730.5</v>
      </c>
      <c r="N181" s="127" t="str">
        <f t="shared" si="60"/>
        <v>нет</v>
      </c>
      <c r="O181" s="21"/>
      <c r="P181" s="179"/>
      <c r="Q181" s="179"/>
      <c r="R181" s="61"/>
      <c r="S181" s="61"/>
      <c r="T181" s="61"/>
      <c r="U181" s="61"/>
      <c r="V181" s="61"/>
      <c r="W181" s="61"/>
      <c r="X181" s="61"/>
      <c r="Y181" s="61"/>
      <c r="Z181" s="61"/>
      <c r="AA181" s="145"/>
      <c r="AB181" s="145"/>
      <c r="AC181" s="145"/>
      <c r="AD181" s="145"/>
      <c r="AE181" s="145"/>
    </row>
    <row r="182" spans="1:31" s="130" customFormat="1" x14ac:dyDescent="0.2">
      <c r="A182" s="180">
        <f t="shared" si="62"/>
        <v>165</v>
      </c>
      <c r="B182" s="143" t="s">
        <v>368</v>
      </c>
      <c r="C182" s="141" t="s">
        <v>193</v>
      </c>
      <c r="D182" t="str">
        <f t="shared" si="50"/>
        <v>нет</v>
      </c>
      <c r="E182" t="str">
        <f t="shared" si="51"/>
        <v>нет</v>
      </c>
      <c r="F182" t="str">
        <f t="shared" si="52"/>
        <v>нет</v>
      </c>
      <c r="G182" s="151" t="str">
        <f t="shared" si="53"/>
        <v>нет</v>
      </c>
      <c r="H182" t="str">
        <f t="shared" si="54"/>
        <v>нет</v>
      </c>
      <c r="I182" s="59" t="str">
        <f t="shared" si="55"/>
        <v>нет</v>
      </c>
      <c r="J182" s="59" t="str">
        <f t="shared" si="56"/>
        <v>нет</v>
      </c>
      <c r="K182" s="59" t="str">
        <f t="shared" si="57"/>
        <v>нет</v>
      </c>
      <c r="L182" s="175" t="str">
        <f t="shared" si="58"/>
        <v>нет</v>
      </c>
      <c r="M182" s="59" t="str">
        <f t="shared" si="59"/>
        <v>нет</v>
      </c>
      <c r="N182" s="59">
        <f t="shared" si="60"/>
        <v>2800</v>
      </c>
      <c r="O182" s="21"/>
      <c r="P182" s="179"/>
      <c r="Q182" s="179"/>
      <c r="R182" s="61"/>
      <c r="S182" s="61"/>
      <c r="T182" s="61"/>
      <c r="U182" s="61"/>
      <c r="V182" s="61"/>
      <c r="W182" s="61"/>
      <c r="X182" s="61"/>
      <c r="Y182" s="61"/>
      <c r="Z182" s="61"/>
      <c r="AA182" s="145"/>
      <c r="AB182" s="145"/>
      <c r="AC182" s="145"/>
      <c r="AD182" s="145"/>
      <c r="AE182" s="145"/>
    </row>
    <row r="183" spans="1:31" s="130" customFormat="1" x14ac:dyDescent="0.2">
      <c r="A183" s="180">
        <f t="shared" si="62"/>
        <v>166</v>
      </c>
      <c r="B183" s="143" t="s">
        <v>443</v>
      </c>
      <c r="C183" s="141" t="s">
        <v>193</v>
      </c>
      <c r="D183" t="str">
        <f t="shared" si="50"/>
        <v>нет</v>
      </c>
      <c r="E183" t="str">
        <f t="shared" si="51"/>
        <v>нет</v>
      </c>
      <c r="F183" t="str">
        <f t="shared" si="52"/>
        <v>нет</v>
      </c>
      <c r="G183" s="151" t="str">
        <f t="shared" si="53"/>
        <v>нет</v>
      </c>
      <c r="H183" t="str">
        <f t="shared" si="54"/>
        <v>нет</v>
      </c>
      <c r="I183" s="59" t="str">
        <f t="shared" si="55"/>
        <v>нет</v>
      </c>
      <c r="J183" s="59" t="str">
        <f t="shared" si="56"/>
        <v>нет</v>
      </c>
      <c r="K183" s="59" t="str">
        <f t="shared" si="57"/>
        <v>нет</v>
      </c>
      <c r="L183" s="175" t="str">
        <f t="shared" si="58"/>
        <v>нет</v>
      </c>
      <c r="M183" s="59" t="str">
        <f t="shared" si="59"/>
        <v>нет</v>
      </c>
      <c r="N183" s="59">
        <f t="shared" si="60"/>
        <v>2800</v>
      </c>
      <c r="O183" s="21"/>
      <c r="P183" s="179"/>
      <c r="Q183" s="179"/>
      <c r="R183" s="61"/>
      <c r="S183" s="61"/>
      <c r="T183" s="61"/>
      <c r="U183" s="61"/>
      <c r="V183" s="61"/>
      <c r="W183" s="61"/>
      <c r="X183" s="61"/>
      <c r="Y183" s="61"/>
      <c r="Z183" s="61"/>
      <c r="AA183" s="145"/>
      <c r="AB183" s="145"/>
      <c r="AC183" s="145"/>
      <c r="AD183" s="145"/>
      <c r="AE183" s="145"/>
    </row>
    <row r="184" spans="1:31" s="130" customFormat="1" x14ac:dyDescent="0.2">
      <c r="A184" s="180">
        <f t="shared" si="62"/>
        <v>167</v>
      </c>
      <c r="B184" s="143" t="s">
        <v>111</v>
      </c>
      <c r="C184" s="141" t="s">
        <v>193</v>
      </c>
      <c r="D184" t="str">
        <f t="shared" si="50"/>
        <v>нет</v>
      </c>
      <c r="E184" t="str">
        <f t="shared" si="51"/>
        <v>нет</v>
      </c>
      <c r="F184" t="str">
        <f t="shared" si="52"/>
        <v>нет</v>
      </c>
      <c r="G184" s="151" t="str">
        <f t="shared" si="53"/>
        <v>нет</v>
      </c>
      <c r="H184" t="str">
        <f t="shared" si="54"/>
        <v>нет</v>
      </c>
      <c r="I184" s="59" t="str">
        <f t="shared" si="55"/>
        <v>нет</v>
      </c>
      <c r="J184" s="59" t="str">
        <f t="shared" si="56"/>
        <v>нет</v>
      </c>
      <c r="K184" s="59" t="str">
        <f t="shared" si="57"/>
        <v>нет</v>
      </c>
      <c r="L184" s="175" t="str">
        <f t="shared" si="58"/>
        <v>нет</v>
      </c>
      <c r="M184" s="59" t="str">
        <f t="shared" si="59"/>
        <v>нет</v>
      </c>
      <c r="N184" s="59">
        <f t="shared" si="60"/>
        <v>2800</v>
      </c>
      <c r="O184" s="21"/>
      <c r="P184" s="179"/>
      <c r="Q184" s="179"/>
      <c r="R184" s="61"/>
      <c r="S184" s="61"/>
      <c r="T184" s="61"/>
      <c r="U184" s="61"/>
      <c r="V184" s="61"/>
      <c r="W184" s="61"/>
      <c r="X184" s="61"/>
      <c r="Y184" s="61"/>
      <c r="Z184" s="61"/>
      <c r="AA184" s="145"/>
      <c r="AB184" s="145"/>
      <c r="AC184" s="145"/>
      <c r="AD184" s="145"/>
      <c r="AE184" s="145"/>
    </row>
    <row r="185" spans="1:31" s="130" customFormat="1" x14ac:dyDescent="0.2">
      <c r="A185" s="180">
        <f t="shared" si="62"/>
        <v>168</v>
      </c>
      <c r="B185" s="143" t="s">
        <v>195</v>
      </c>
      <c r="C185" s="141" t="s">
        <v>193</v>
      </c>
      <c r="D185" t="str">
        <f t="shared" si="50"/>
        <v>нет</v>
      </c>
      <c r="E185" t="str">
        <f t="shared" si="51"/>
        <v>нет</v>
      </c>
      <c r="F185" t="str">
        <f t="shared" si="52"/>
        <v>нет</v>
      </c>
      <c r="G185" s="151" t="str">
        <f t="shared" si="53"/>
        <v>нет</v>
      </c>
      <c r="H185" t="str">
        <f t="shared" si="54"/>
        <v>нет</v>
      </c>
      <c r="I185" s="59" t="str">
        <f t="shared" si="55"/>
        <v>нет</v>
      </c>
      <c r="J185" s="59" t="str">
        <f t="shared" si="56"/>
        <v>нет</v>
      </c>
      <c r="K185" s="59" t="str">
        <f t="shared" si="57"/>
        <v>нет</v>
      </c>
      <c r="L185" s="175" t="str">
        <f t="shared" si="58"/>
        <v>нет</v>
      </c>
      <c r="M185" s="59" t="str">
        <f t="shared" si="59"/>
        <v>нет</v>
      </c>
      <c r="N185" s="59">
        <f t="shared" si="60"/>
        <v>2800</v>
      </c>
      <c r="O185" s="21"/>
      <c r="P185" s="179"/>
      <c r="Q185" s="179"/>
      <c r="R185" s="61"/>
      <c r="S185" s="61"/>
      <c r="T185" s="61"/>
      <c r="U185" s="61"/>
      <c r="V185" s="61"/>
      <c r="W185" s="61"/>
      <c r="X185" s="61"/>
      <c r="Y185" s="61"/>
      <c r="Z185" s="61"/>
      <c r="AA185" s="145"/>
      <c r="AB185" s="145"/>
      <c r="AC185" s="145"/>
      <c r="AD185" s="145"/>
      <c r="AE185" s="145"/>
    </row>
    <row r="186" spans="1:31" s="130" customFormat="1" x14ac:dyDescent="0.2">
      <c r="A186" s="180">
        <f t="shared" si="62"/>
        <v>169</v>
      </c>
      <c r="B186" s="143" t="s">
        <v>394</v>
      </c>
      <c r="C186" s="141" t="s">
        <v>193</v>
      </c>
      <c r="D186" t="str">
        <f t="shared" si="50"/>
        <v>нет</v>
      </c>
      <c r="E186" t="str">
        <f t="shared" si="51"/>
        <v>нет</v>
      </c>
      <c r="F186" t="str">
        <f t="shared" si="52"/>
        <v>нет</v>
      </c>
      <c r="G186" s="151" t="str">
        <f t="shared" si="53"/>
        <v>нет</v>
      </c>
      <c r="H186" t="str">
        <f t="shared" si="54"/>
        <v>нет</v>
      </c>
      <c r="I186" s="59" t="str">
        <f t="shared" si="55"/>
        <v>нет</v>
      </c>
      <c r="J186" s="59" t="str">
        <f t="shared" si="56"/>
        <v>нет</v>
      </c>
      <c r="K186" s="59" t="str">
        <f t="shared" si="57"/>
        <v>нет</v>
      </c>
      <c r="L186" s="175" t="str">
        <f t="shared" si="58"/>
        <v>нет</v>
      </c>
      <c r="M186" s="59" t="str">
        <f t="shared" si="59"/>
        <v>нет</v>
      </c>
      <c r="N186" s="59">
        <f t="shared" si="60"/>
        <v>2800</v>
      </c>
      <c r="O186" s="21"/>
      <c r="P186" s="179"/>
      <c r="Q186" s="179"/>
      <c r="R186" s="61"/>
      <c r="S186" s="61"/>
      <c r="T186" s="61"/>
      <c r="U186" s="61"/>
      <c r="V186" s="61"/>
      <c r="W186" s="61"/>
      <c r="X186" s="61"/>
      <c r="Y186" s="61"/>
      <c r="Z186" s="61"/>
      <c r="AA186" s="145"/>
      <c r="AB186" s="145"/>
      <c r="AC186" s="145"/>
      <c r="AD186" s="145"/>
      <c r="AE186" s="145"/>
    </row>
    <row r="187" spans="1:31" x14ac:dyDescent="0.2">
      <c r="A187" s="180">
        <f t="shared" si="62"/>
        <v>170</v>
      </c>
      <c r="B187" s="143" t="s">
        <v>399</v>
      </c>
      <c r="C187" s="141" t="s">
        <v>193</v>
      </c>
      <c r="D187" t="str">
        <f t="shared" si="50"/>
        <v>нет</v>
      </c>
      <c r="E187" t="str">
        <f t="shared" si="51"/>
        <v>нет</v>
      </c>
      <c r="F187" t="str">
        <f t="shared" si="52"/>
        <v>нет</v>
      </c>
      <c r="G187" s="151" t="str">
        <f t="shared" si="53"/>
        <v>нет</v>
      </c>
      <c r="H187" t="str">
        <f t="shared" si="54"/>
        <v>нет</v>
      </c>
      <c r="I187" s="59" t="str">
        <f t="shared" si="55"/>
        <v>нет</v>
      </c>
      <c r="J187" s="59" t="str">
        <f t="shared" si="56"/>
        <v>нет</v>
      </c>
      <c r="K187" s="59" t="str">
        <f t="shared" si="57"/>
        <v>нет</v>
      </c>
      <c r="L187" s="175" t="str">
        <f t="shared" si="58"/>
        <v>нет</v>
      </c>
      <c r="M187" s="59" t="str">
        <f t="shared" si="59"/>
        <v>нет</v>
      </c>
      <c r="N187" s="59">
        <f t="shared" si="60"/>
        <v>2800</v>
      </c>
      <c r="P187" s="61"/>
      <c r="Q187" s="61"/>
    </row>
    <row r="188" spans="1:31" x14ac:dyDescent="0.2">
      <c r="A188" s="180">
        <f t="shared" si="62"/>
        <v>171</v>
      </c>
      <c r="B188" s="143" t="s">
        <v>196</v>
      </c>
      <c r="C188" s="141" t="s">
        <v>193</v>
      </c>
      <c r="D188" t="str">
        <f t="shared" si="50"/>
        <v>нет</v>
      </c>
      <c r="E188" t="str">
        <f t="shared" si="51"/>
        <v>нет</v>
      </c>
      <c r="F188" t="str">
        <f t="shared" si="52"/>
        <v>нет</v>
      </c>
      <c r="G188" s="151" t="str">
        <f t="shared" si="53"/>
        <v>нет</v>
      </c>
      <c r="H188" t="str">
        <f t="shared" si="54"/>
        <v>нет</v>
      </c>
      <c r="I188" s="59" t="str">
        <f t="shared" si="55"/>
        <v>нет</v>
      </c>
      <c r="J188" s="59" t="str">
        <f t="shared" si="56"/>
        <v>нет</v>
      </c>
      <c r="K188" s="59" t="str">
        <f t="shared" si="57"/>
        <v>нет</v>
      </c>
      <c r="L188" s="175" t="str">
        <f t="shared" si="58"/>
        <v>нет</v>
      </c>
      <c r="M188" s="59" t="str">
        <f t="shared" si="59"/>
        <v>нет</v>
      </c>
      <c r="N188" s="59">
        <f t="shared" si="60"/>
        <v>2800</v>
      </c>
    </row>
    <row r="189" spans="1:31" x14ac:dyDescent="0.2">
      <c r="A189" s="180">
        <f t="shared" si="62"/>
        <v>172</v>
      </c>
      <c r="B189" s="143" t="s">
        <v>112</v>
      </c>
      <c r="C189" s="141" t="s">
        <v>193</v>
      </c>
      <c r="D189" t="str">
        <f t="shared" si="50"/>
        <v>нет</v>
      </c>
      <c r="E189" t="str">
        <f t="shared" si="51"/>
        <v>нет</v>
      </c>
      <c r="F189" t="str">
        <f t="shared" si="52"/>
        <v>нет</v>
      </c>
      <c r="G189" s="151" t="str">
        <f t="shared" si="53"/>
        <v>нет</v>
      </c>
      <c r="H189" t="str">
        <f t="shared" si="54"/>
        <v>нет</v>
      </c>
      <c r="I189" s="59" t="str">
        <f t="shared" si="55"/>
        <v>нет</v>
      </c>
      <c r="J189" s="59" t="str">
        <f t="shared" si="56"/>
        <v>нет</v>
      </c>
      <c r="K189" s="59" t="str">
        <f t="shared" si="57"/>
        <v>нет</v>
      </c>
      <c r="L189" s="175" t="str">
        <f t="shared" si="58"/>
        <v>нет</v>
      </c>
      <c r="M189" s="59" t="str">
        <f t="shared" si="59"/>
        <v>нет</v>
      </c>
      <c r="N189" s="59">
        <f t="shared" si="60"/>
        <v>2800</v>
      </c>
    </row>
    <row r="190" spans="1:31" x14ac:dyDescent="0.2">
      <c r="A190" s="180">
        <f t="shared" si="62"/>
        <v>173</v>
      </c>
      <c r="B190" s="143" t="s">
        <v>113</v>
      </c>
      <c r="C190" s="141" t="s">
        <v>193</v>
      </c>
      <c r="D190" t="str">
        <f t="shared" si="50"/>
        <v>нет</v>
      </c>
      <c r="E190" t="str">
        <f t="shared" si="51"/>
        <v>нет</v>
      </c>
      <c r="F190" t="str">
        <f t="shared" si="52"/>
        <v>нет</v>
      </c>
      <c r="G190" s="151" t="str">
        <f t="shared" si="53"/>
        <v>нет</v>
      </c>
      <c r="H190" t="str">
        <f t="shared" si="54"/>
        <v>нет</v>
      </c>
      <c r="I190" s="59" t="str">
        <f t="shared" si="55"/>
        <v>нет</v>
      </c>
      <c r="J190" s="59" t="str">
        <f t="shared" si="56"/>
        <v>нет</v>
      </c>
      <c r="K190" s="59" t="str">
        <f t="shared" si="57"/>
        <v>нет</v>
      </c>
      <c r="L190" s="175" t="str">
        <f t="shared" si="58"/>
        <v>нет</v>
      </c>
      <c r="M190" s="59" t="str">
        <f t="shared" si="59"/>
        <v>нет</v>
      </c>
      <c r="N190" s="59">
        <f t="shared" si="60"/>
        <v>2800</v>
      </c>
    </row>
    <row r="191" spans="1:31" x14ac:dyDescent="0.2">
      <c r="A191" s="180">
        <f t="shared" si="62"/>
        <v>174</v>
      </c>
      <c r="B191" s="143" t="s">
        <v>387</v>
      </c>
      <c r="C191" s="141" t="s">
        <v>193</v>
      </c>
      <c r="D191" t="str">
        <f t="shared" si="50"/>
        <v>нет</v>
      </c>
      <c r="E191" t="str">
        <f t="shared" si="51"/>
        <v>нет</v>
      </c>
      <c r="F191" t="str">
        <f t="shared" si="52"/>
        <v>нет</v>
      </c>
      <c r="G191" s="151" t="str">
        <f t="shared" si="53"/>
        <v>нет</v>
      </c>
      <c r="H191" t="str">
        <f t="shared" si="54"/>
        <v>нет</v>
      </c>
      <c r="I191" s="59" t="str">
        <f t="shared" si="55"/>
        <v>нет</v>
      </c>
      <c r="J191" s="59" t="str">
        <f t="shared" si="56"/>
        <v>нет</v>
      </c>
      <c r="K191" s="59" t="str">
        <f t="shared" si="57"/>
        <v>нет</v>
      </c>
      <c r="L191" s="175" t="str">
        <f t="shared" si="58"/>
        <v>нет</v>
      </c>
      <c r="M191" s="59" t="str">
        <f t="shared" si="59"/>
        <v>нет</v>
      </c>
      <c r="N191" s="59">
        <f t="shared" si="60"/>
        <v>2800</v>
      </c>
    </row>
    <row r="192" spans="1:31" x14ac:dyDescent="0.2">
      <c r="A192" s="180">
        <f t="shared" si="62"/>
        <v>175</v>
      </c>
      <c r="B192" s="143" t="s">
        <v>114</v>
      </c>
      <c r="C192" s="141" t="s">
        <v>193</v>
      </c>
      <c r="D192" t="str">
        <f t="shared" si="50"/>
        <v>нет</v>
      </c>
      <c r="E192" t="str">
        <f t="shared" si="51"/>
        <v>нет</v>
      </c>
      <c r="F192" t="str">
        <f t="shared" si="52"/>
        <v>нет</v>
      </c>
      <c r="G192" s="151" t="str">
        <f t="shared" si="53"/>
        <v>нет</v>
      </c>
      <c r="H192" t="str">
        <f t="shared" si="54"/>
        <v>нет</v>
      </c>
      <c r="I192" s="59" t="str">
        <f t="shared" si="55"/>
        <v>нет</v>
      </c>
      <c r="J192" s="59" t="str">
        <f t="shared" si="56"/>
        <v>нет</v>
      </c>
      <c r="K192" s="59" t="str">
        <f t="shared" si="57"/>
        <v>нет</v>
      </c>
      <c r="L192" s="175" t="str">
        <f t="shared" si="58"/>
        <v>нет</v>
      </c>
      <c r="M192" s="59" t="str">
        <f t="shared" si="59"/>
        <v>нет</v>
      </c>
      <c r="N192" s="59">
        <f t="shared" si="60"/>
        <v>2800</v>
      </c>
    </row>
    <row r="193" spans="1:14" x14ac:dyDescent="0.2">
      <c r="A193" s="180">
        <f t="shared" si="62"/>
        <v>176</v>
      </c>
      <c r="B193" s="143" t="s">
        <v>475</v>
      </c>
      <c r="C193" s="141" t="s">
        <v>277</v>
      </c>
      <c r="D193">
        <f t="shared" si="50"/>
        <v>1800</v>
      </c>
      <c r="E193">
        <f t="shared" si="51"/>
        <v>1900</v>
      </c>
      <c r="F193">
        <f t="shared" si="52"/>
        <v>3490</v>
      </c>
      <c r="G193" s="151">
        <f t="shared" si="53"/>
        <v>2833</v>
      </c>
      <c r="H193">
        <f t="shared" si="54"/>
        <v>3907</v>
      </c>
      <c r="I193" s="59" t="str">
        <f t="shared" si="55"/>
        <v>нет</v>
      </c>
      <c r="J193" s="59" t="str">
        <f t="shared" si="56"/>
        <v>нет</v>
      </c>
      <c r="K193" s="59" t="str">
        <f t="shared" si="57"/>
        <v>нет</v>
      </c>
      <c r="L193" s="175" t="str">
        <f t="shared" si="58"/>
        <v>нет</v>
      </c>
      <c r="M193" s="59" t="str">
        <f t="shared" si="59"/>
        <v>нет</v>
      </c>
      <c r="N193" s="59">
        <f t="shared" si="60"/>
        <v>900</v>
      </c>
    </row>
  </sheetData>
  <autoFilter ref="A18:AE198" xr:uid="{77536014-0FD1-4ADC-A331-3F7F75391DC8}"/>
  <customSheetViews>
    <customSheetView guid="{700CC08B-C9E0-4A9E-9D69-3098FEE5461F}" scale="85" showAutoFilter="1" state="hidden">
      <selection activeCell="B2" sqref="B2"/>
      <pageMargins left="0.75" right="0.75" top="1" bottom="1" header="0.5" footer="0.5"/>
      <pageSetup paperSize="9" orientation="portrait" r:id="rId1"/>
      <headerFooter alignWithMargins="0"/>
      <autoFilter ref="A18:AE198" xr:uid="{00000000-0000-0000-0000-000000000000}"/>
    </customSheetView>
  </customSheetViews>
  <phoneticPr fontId="3" type="noConversion"/>
  <pageMargins left="0.75" right="0.75" top="1" bottom="1" header="0.5" footer="0.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/>
  <dimension ref="A1:Y192"/>
  <sheetViews>
    <sheetView showGridLines="0" zoomScale="85" zoomScaleNormal="85" workbookViewId="0">
      <selection activeCell="H193" sqref="H193"/>
    </sheetView>
  </sheetViews>
  <sheetFormatPr defaultRowHeight="12.75" x14ac:dyDescent="0.2"/>
  <cols>
    <col min="1" max="1" width="9.140625" style="143" customWidth="1"/>
    <col min="2" max="2" width="25.7109375" style="143" bestFit="1" customWidth="1"/>
    <col min="3" max="4" width="9.140625" style="143" customWidth="1"/>
    <col min="7" max="7" width="9.140625" style="143" customWidth="1"/>
    <col min="8" max="8" width="25.42578125" style="143" bestFit="1" customWidth="1"/>
    <col min="9" max="9" width="9.140625" style="143" customWidth="1"/>
    <col min="13" max="13" width="35.85546875" style="108" bestFit="1" customWidth="1"/>
    <col min="15" max="15" width="9.140625" style="108" customWidth="1"/>
  </cols>
  <sheetData>
    <row r="1" spans="1:24" x14ac:dyDescent="0.2">
      <c r="A1" s="147"/>
      <c r="B1" s="147" t="s">
        <v>501</v>
      </c>
      <c r="C1" s="147"/>
      <c r="D1" s="147"/>
      <c r="E1" s="42" t="s">
        <v>271</v>
      </c>
      <c r="G1" s="147"/>
      <c r="H1" s="147" t="s">
        <v>502</v>
      </c>
      <c r="I1" s="147"/>
      <c r="J1" s="23"/>
      <c r="L1" s="23"/>
      <c r="M1" s="131" t="s">
        <v>503</v>
      </c>
      <c r="N1" s="23"/>
      <c r="O1" s="131" t="s">
        <v>5</v>
      </c>
      <c r="P1" s="23" t="s">
        <v>40</v>
      </c>
      <c r="Q1" s="23"/>
      <c r="R1" s="23"/>
      <c r="S1" s="23"/>
      <c r="T1" s="23"/>
      <c r="U1" s="23"/>
      <c r="V1" s="23"/>
      <c r="W1" s="23"/>
      <c r="X1" s="23" t="s">
        <v>92</v>
      </c>
    </row>
    <row r="2" spans="1:24" x14ac:dyDescent="0.2">
      <c r="E2" s="42" t="s">
        <v>272</v>
      </c>
      <c r="P2" s="109" t="s">
        <v>12</v>
      </c>
      <c r="Q2" s="110"/>
      <c r="R2" s="110"/>
      <c r="S2" s="111"/>
      <c r="T2" s="170" t="s">
        <v>200</v>
      </c>
      <c r="U2" s="171"/>
      <c r="V2" s="171"/>
      <c r="W2" s="172"/>
    </row>
    <row r="3" spans="1:24" x14ac:dyDescent="0.2">
      <c r="A3" s="141"/>
      <c r="B3" s="141" t="s">
        <v>15</v>
      </c>
      <c r="C3" s="141">
        <v>2</v>
      </c>
      <c r="D3" s="141">
        <v>800</v>
      </c>
      <c r="E3" s="141"/>
      <c r="F3" s="141"/>
      <c r="G3" s="141"/>
      <c r="H3" s="141" t="s">
        <v>34</v>
      </c>
      <c r="I3" s="141">
        <v>1</v>
      </c>
      <c r="J3" s="141">
        <v>0</v>
      </c>
      <c r="K3" s="128"/>
      <c r="P3">
        <v>0</v>
      </c>
      <c r="Q3">
        <v>1</v>
      </c>
      <c r="R3">
        <v>2</v>
      </c>
      <c r="S3">
        <v>3</v>
      </c>
      <c r="T3" s="151">
        <v>4</v>
      </c>
      <c r="U3" s="151">
        <v>5</v>
      </c>
      <c r="V3" s="151">
        <v>6</v>
      </c>
      <c r="W3" s="151">
        <v>7</v>
      </c>
    </row>
    <row r="4" spans="1:24" x14ac:dyDescent="0.2">
      <c r="A4" s="141">
        <v>19</v>
      </c>
      <c r="B4" s="141" t="s">
        <v>209</v>
      </c>
      <c r="C4" s="141">
        <v>3</v>
      </c>
      <c r="D4" s="141">
        <v>900</v>
      </c>
      <c r="E4" s="141"/>
      <c r="F4" s="141"/>
      <c r="G4" s="141"/>
      <c r="H4" s="141" t="s">
        <v>612</v>
      </c>
      <c r="I4" s="141">
        <v>2</v>
      </c>
      <c r="J4" s="141">
        <v>150</v>
      </c>
      <c r="K4" s="128"/>
      <c r="M4" s="141" t="s">
        <v>567</v>
      </c>
      <c r="N4" s="128">
        <v>2</v>
      </c>
      <c r="O4" s="145">
        <v>1200</v>
      </c>
      <c r="P4" s="141">
        <v>0</v>
      </c>
      <c r="Q4" s="145">
        <v>200</v>
      </c>
      <c r="R4" s="145">
        <v>400</v>
      </c>
      <c r="S4" s="145">
        <v>300</v>
      </c>
      <c r="T4" s="169">
        <v>5000</v>
      </c>
      <c r="U4" s="169">
        <f t="shared" ref="U4:V6" si="0">Q4+300-50-45</f>
        <v>405</v>
      </c>
      <c r="V4" s="169">
        <f t="shared" si="0"/>
        <v>605</v>
      </c>
      <c r="W4" s="169">
        <f>S4+300-45</f>
        <v>555</v>
      </c>
      <c r="X4" s="139">
        <v>0.192</v>
      </c>
    </row>
    <row r="5" spans="1:24" x14ac:dyDescent="0.2">
      <c r="A5" s="141">
        <v>19</v>
      </c>
      <c r="B5" s="141" t="s">
        <v>309</v>
      </c>
      <c r="C5" s="141">
        <v>6</v>
      </c>
      <c r="D5" s="141">
        <v>1300</v>
      </c>
      <c r="E5" s="141"/>
      <c r="F5" s="141"/>
      <c r="G5" s="141"/>
      <c r="H5" s="141" t="s">
        <v>613</v>
      </c>
      <c r="I5" s="141">
        <v>2</v>
      </c>
      <c r="J5" s="141">
        <v>150</v>
      </c>
      <c r="K5" s="128"/>
      <c r="M5" s="141" t="s">
        <v>306</v>
      </c>
      <c r="N5" s="128">
        <f>N4+1</f>
        <v>3</v>
      </c>
      <c r="O5" s="145">
        <v>1150</v>
      </c>
      <c r="P5" s="141">
        <v>0</v>
      </c>
      <c r="Q5" s="145">
        <v>200</v>
      </c>
      <c r="R5" s="145">
        <v>400</v>
      </c>
      <c r="S5" s="145">
        <v>300</v>
      </c>
      <c r="T5" s="169">
        <v>5000</v>
      </c>
      <c r="U5" s="169">
        <f t="shared" si="0"/>
        <v>405</v>
      </c>
      <c r="V5" s="169">
        <f t="shared" si="0"/>
        <v>605</v>
      </c>
      <c r="W5" s="169">
        <f>S5+300-45</f>
        <v>555</v>
      </c>
      <c r="X5" s="139">
        <v>0.23</v>
      </c>
    </row>
    <row r="6" spans="1:24" x14ac:dyDescent="0.2">
      <c r="A6" s="141"/>
      <c r="B6" s="141" t="s">
        <v>478</v>
      </c>
      <c r="C6" s="141">
        <v>5</v>
      </c>
      <c r="D6" s="141">
        <v>1200</v>
      </c>
      <c r="E6" s="141"/>
      <c r="F6" s="141"/>
      <c r="G6" s="141"/>
      <c r="H6" s="141" t="s">
        <v>614</v>
      </c>
      <c r="I6" s="141">
        <v>2</v>
      </c>
      <c r="J6" s="141">
        <v>150</v>
      </c>
      <c r="K6" s="128"/>
      <c r="M6" s="141" t="s">
        <v>655</v>
      </c>
      <c r="N6" s="128">
        <f t="shared" ref="N6:N49" si="1">N5+1</f>
        <v>4</v>
      </c>
      <c r="O6" s="145">
        <v>1100</v>
      </c>
      <c r="P6" s="141">
        <v>0</v>
      </c>
      <c r="Q6" s="145">
        <v>200</v>
      </c>
      <c r="R6" s="145">
        <v>400</v>
      </c>
      <c r="S6" s="145">
        <v>300</v>
      </c>
      <c r="T6" s="169">
        <v>5000</v>
      </c>
      <c r="U6" s="169">
        <f t="shared" si="0"/>
        <v>405</v>
      </c>
      <c r="V6" s="169">
        <f t="shared" si="0"/>
        <v>605</v>
      </c>
      <c r="W6" s="169">
        <f>S6+300-45</f>
        <v>555</v>
      </c>
      <c r="X6" s="139">
        <v>0.14000000000000001</v>
      </c>
    </row>
    <row r="7" spans="1:24" x14ac:dyDescent="0.2">
      <c r="A7" s="141">
        <v>19</v>
      </c>
      <c r="B7" s="141" t="s">
        <v>22</v>
      </c>
      <c r="C7" s="141">
        <v>2</v>
      </c>
      <c r="D7" s="141">
        <v>800</v>
      </c>
      <c r="E7" s="141"/>
      <c r="F7" s="141"/>
      <c r="G7" s="141"/>
      <c r="H7" s="141" t="s">
        <v>220</v>
      </c>
      <c r="I7" s="141">
        <v>3</v>
      </c>
      <c r="J7" s="141">
        <v>450</v>
      </c>
      <c r="K7" s="128"/>
      <c r="M7" s="128" t="s">
        <v>656</v>
      </c>
      <c r="N7" s="128">
        <f t="shared" si="1"/>
        <v>5</v>
      </c>
      <c r="O7" s="145">
        <v>3000</v>
      </c>
      <c r="P7" s="141">
        <v>0</v>
      </c>
      <c r="Q7" s="145">
        <v>150</v>
      </c>
      <c r="R7" s="145">
        <v>200</v>
      </c>
      <c r="S7" s="145">
        <v>200</v>
      </c>
      <c r="T7" s="169">
        <f>195-25</f>
        <v>170</v>
      </c>
      <c r="U7" s="169">
        <f>Q7+195-25-20</f>
        <v>300</v>
      </c>
      <c r="V7" s="169">
        <f>R7+195-25-20</f>
        <v>350</v>
      </c>
      <c r="W7" s="169">
        <f>S7+195-20</f>
        <v>375</v>
      </c>
      <c r="X7" s="139">
        <v>9.6000000000000002E-2</v>
      </c>
    </row>
    <row r="8" spans="1:24" x14ac:dyDescent="0.2">
      <c r="A8" s="141" t="s">
        <v>214</v>
      </c>
      <c r="B8" s="141" t="s">
        <v>215</v>
      </c>
      <c r="C8" s="141">
        <v>3</v>
      </c>
      <c r="D8" s="141">
        <v>900</v>
      </c>
      <c r="E8" s="141"/>
      <c r="F8" s="141"/>
      <c r="G8" s="141"/>
      <c r="H8" s="141" t="s">
        <v>615</v>
      </c>
      <c r="I8" s="141">
        <v>5</v>
      </c>
      <c r="J8" s="141">
        <v>1150</v>
      </c>
      <c r="K8" s="128"/>
      <c r="M8" s="128" t="s">
        <v>657</v>
      </c>
      <c r="N8" s="128">
        <f t="shared" si="1"/>
        <v>6</v>
      </c>
      <c r="O8" s="145">
        <v>3000</v>
      </c>
      <c r="P8" s="141">
        <v>0</v>
      </c>
      <c r="Q8" s="145">
        <v>150</v>
      </c>
      <c r="R8" s="145">
        <v>200</v>
      </c>
      <c r="S8" s="145">
        <v>200</v>
      </c>
      <c r="T8" s="169">
        <f>195-25</f>
        <v>170</v>
      </c>
      <c r="U8" s="169">
        <f>Q8+195-25-20</f>
        <v>300</v>
      </c>
      <c r="V8" s="169">
        <f>R8+195-25-20</f>
        <v>350</v>
      </c>
      <c r="W8" s="169">
        <f>S8+195-20</f>
        <v>375</v>
      </c>
      <c r="X8" s="139">
        <v>0.104</v>
      </c>
    </row>
    <row r="9" spans="1:24" x14ac:dyDescent="0.2">
      <c r="A9" s="141" t="s">
        <v>265</v>
      </c>
      <c r="B9" s="141" t="s">
        <v>264</v>
      </c>
      <c r="C9" s="141">
        <v>1</v>
      </c>
      <c r="D9" s="141">
        <f>130+50-180</f>
        <v>0</v>
      </c>
      <c r="E9" s="141">
        <f>390</f>
        <v>390</v>
      </c>
      <c r="F9" s="141"/>
      <c r="G9" s="141"/>
      <c r="H9" s="141" t="s">
        <v>616</v>
      </c>
      <c r="I9" s="141">
        <v>5</v>
      </c>
      <c r="J9" s="141">
        <v>1150</v>
      </c>
      <c r="K9" s="128"/>
      <c r="M9" s="141" t="s">
        <v>688</v>
      </c>
      <c r="N9" s="128">
        <f t="shared" si="1"/>
        <v>7</v>
      </c>
      <c r="O9" s="145">
        <v>1200</v>
      </c>
      <c r="P9" s="141">
        <v>0</v>
      </c>
      <c r="Q9" s="145">
        <v>200</v>
      </c>
      <c r="R9" s="145">
        <v>400</v>
      </c>
      <c r="S9" s="145">
        <v>300</v>
      </c>
      <c r="T9" s="169">
        <f>300-50</f>
        <v>250</v>
      </c>
      <c r="U9" s="169">
        <f>Q9+300-50-45</f>
        <v>405</v>
      </c>
      <c r="V9" s="169">
        <f>R9+300-50-45</f>
        <v>605</v>
      </c>
      <c r="W9" s="169">
        <f>S9+300-45</f>
        <v>555</v>
      </c>
      <c r="X9" s="139">
        <v>0.16</v>
      </c>
    </row>
    <row r="10" spans="1:24" x14ac:dyDescent="0.2">
      <c r="A10" s="141" t="s">
        <v>89</v>
      </c>
      <c r="B10" s="141" t="s">
        <v>83</v>
      </c>
      <c r="C10" s="141">
        <v>1</v>
      </c>
      <c r="D10" s="141">
        <v>500</v>
      </c>
      <c r="E10" s="141"/>
      <c r="F10" s="141"/>
      <c r="G10" s="141"/>
      <c r="H10" s="141" t="s">
        <v>221</v>
      </c>
      <c r="I10" s="141">
        <v>3</v>
      </c>
      <c r="J10" s="141">
        <v>450</v>
      </c>
      <c r="K10" s="128"/>
      <c r="M10" s="128" t="s">
        <v>161</v>
      </c>
      <c r="N10" s="128">
        <f t="shared" si="1"/>
        <v>8</v>
      </c>
      <c r="O10" s="145" t="s">
        <v>687</v>
      </c>
      <c r="P10" s="141">
        <v>0</v>
      </c>
      <c r="Q10" s="145">
        <v>150</v>
      </c>
      <c r="R10" s="145">
        <v>200</v>
      </c>
      <c r="S10" s="145">
        <v>200</v>
      </c>
      <c r="T10" s="169">
        <f>195-25</f>
        <v>170</v>
      </c>
      <c r="U10" s="169">
        <f>Q10+195-25-20</f>
        <v>300</v>
      </c>
      <c r="V10" s="169">
        <f>R10+195-25-20</f>
        <v>350</v>
      </c>
      <c r="W10" s="169">
        <f>S10+195-20</f>
        <v>375</v>
      </c>
      <c r="X10" s="139">
        <v>9.7000000000000003E-2</v>
      </c>
    </row>
    <row r="11" spans="1:24" x14ac:dyDescent="0.2">
      <c r="A11" s="141" t="s">
        <v>89</v>
      </c>
      <c r="B11" s="141" t="s">
        <v>479</v>
      </c>
      <c r="C11" s="141">
        <v>1</v>
      </c>
      <c r="D11" s="141">
        <v>500</v>
      </c>
      <c r="E11" s="141"/>
      <c r="F11" s="141"/>
      <c r="G11" s="141" t="s">
        <v>89</v>
      </c>
      <c r="H11" s="141" t="s">
        <v>222</v>
      </c>
      <c r="I11" s="141">
        <v>1</v>
      </c>
      <c r="J11" s="141">
        <v>150</v>
      </c>
      <c r="K11" s="128"/>
      <c r="M11" s="128" t="s">
        <v>160</v>
      </c>
      <c r="N11" s="128">
        <f t="shared" si="1"/>
        <v>9</v>
      </c>
      <c r="O11" s="145" t="s">
        <v>687</v>
      </c>
      <c r="P11" s="141">
        <v>0</v>
      </c>
      <c r="Q11" s="145">
        <v>150</v>
      </c>
      <c r="R11" s="145">
        <v>200</v>
      </c>
      <c r="S11" s="145">
        <v>200</v>
      </c>
      <c r="T11" s="169">
        <f>195-25</f>
        <v>170</v>
      </c>
      <c r="U11" s="169">
        <f>Q11+195-25-20</f>
        <v>300</v>
      </c>
      <c r="V11" s="169">
        <f>R11+195-25-20</f>
        <v>350</v>
      </c>
      <c r="W11" s="169">
        <f>S11+195-20</f>
        <v>375</v>
      </c>
      <c r="X11" s="139">
        <v>0.10299999999999999</v>
      </c>
    </row>
    <row r="12" spans="1:24" x14ac:dyDescent="0.2">
      <c r="A12" s="141"/>
      <c r="B12" s="141" t="s">
        <v>480</v>
      </c>
      <c r="C12" s="141">
        <v>5</v>
      </c>
      <c r="D12" s="141">
        <v>1200</v>
      </c>
      <c r="E12" s="141"/>
      <c r="F12" s="141"/>
      <c r="G12" s="141" t="s">
        <v>89</v>
      </c>
      <c r="H12" s="141" t="s">
        <v>50</v>
      </c>
      <c r="I12" s="141">
        <v>1</v>
      </c>
      <c r="J12" s="141">
        <v>150</v>
      </c>
      <c r="K12" s="128"/>
      <c r="M12" s="128" t="s">
        <v>187</v>
      </c>
      <c r="N12" s="128">
        <f t="shared" si="1"/>
        <v>10</v>
      </c>
      <c r="O12" s="145">
        <v>1400</v>
      </c>
      <c r="P12" s="141">
        <v>0</v>
      </c>
      <c r="Q12" s="145">
        <v>200</v>
      </c>
      <c r="R12" s="145">
        <v>400</v>
      </c>
      <c r="S12" s="145">
        <v>300</v>
      </c>
      <c r="T12" s="169">
        <v>5000</v>
      </c>
      <c r="U12" s="169">
        <f>Q12+300-50-45</f>
        <v>405</v>
      </c>
      <c r="V12" s="169">
        <f>R12+300-50-45</f>
        <v>605</v>
      </c>
      <c r="W12" s="169">
        <f>S12+300-45</f>
        <v>555</v>
      </c>
      <c r="X12" s="139">
        <v>0.27200000000000002</v>
      </c>
    </row>
    <row r="13" spans="1:24" x14ac:dyDescent="0.2">
      <c r="A13" s="141"/>
      <c r="B13" s="141" t="s">
        <v>16</v>
      </c>
      <c r="C13" s="141">
        <v>2</v>
      </c>
      <c r="D13" s="141">
        <v>800</v>
      </c>
      <c r="E13" s="141"/>
      <c r="F13" s="141"/>
      <c r="G13" s="141" t="s">
        <v>89</v>
      </c>
      <c r="H13" s="141" t="s">
        <v>49</v>
      </c>
      <c r="I13" s="141">
        <v>1</v>
      </c>
      <c r="J13" s="141">
        <v>150</v>
      </c>
      <c r="K13" s="128"/>
      <c r="M13" s="128" t="s">
        <v>188</v>
      </c>
      <c r="N13" s="128">
        <f t="shared" si="1"/>
        <v>11</v>
      </c>
      <c r="O13" s="145">
        <v>1200</v>
      </c>
      <c r="P13" s="141">
        <v>0</v>
      </c>
      <c r="Q13" s="145">
        <v>150</v>
      </c>
      <c r="R13" s="145">
        <v>200</v>
      </c>
      <c r="S13" s="145">
        <v>200</v>
      </c>
      <c r="T13" s="169">
        <f>195-25</f>
        <v>170</v>
      </c>
      <c r="U13" s="169">
        <f>Q13+195-25-20</f>
        <v>300</v>
      </c>
      <c r="V13" s="169">
        <f>R13+195-25-20</f>
        <v>350</v>
      </c>
      <c r="W13" s="169">
        <f>S13+195-20</f>
        <v>375</v>
      </c>
      <c r="X13" s="139">
        <v>9.7000000000000003E-2</v>
      </c>
    </row>
    <row r="14" spans="1:24" x14ac:dyDescent="0.2">
      <c r="A14" s="141" t="s">
        <v>265</v>
      </c>
      <c r="B14" s="141" t="s">
        <v>266</v>
      </c>
      <c r="C14" s="141">
        <v>4</v>
      </c>
      <c r="D14" s="141">
        <v>1000</v>
      </c>
      <c r="E14" s="141"/>
      <c r="F14" s="141"/>
      <c r="G14" s="141" t="s">
        <v>89</v>
      </c>
      <c r="H14" s="141" t="s">
        <v>617</v>
      </c>
      <c r="I14" s="141">
        <v>1</v>
      </c>
      <c r="J14" s="141">
        <v>150</v>
      </c>
      <c r="K14" s="128"/>
      <c r="M14" s="128" t="s">
        <v>189</v>
      </c>
      <c r="N14" s="128">
        <f t="shared" si="1"/>
        <v>12</v>
      </c>
      <c r="O14" s="145">
        <v>1200</v>
      </c>
      <c r="P14" s="141">
        <v>0</v>
      </c>
      <c r="Q14" s="145">
        <v>150</v>
      </c>
      <c r="R14" s="145">
        <v>200</v>
      </c>
      <c r="S14" s="145">
        <v>200</v>
      </c>
      <c r="T14" s="169">
        <f>195-25</f>
        <v>170</v>
      </c>
      <c r="U14" s="169">
        <f>Q14+195-25-20</f>
        <v>300</v>
      </c>
      <c r="V14" s="169">
        <f>R14+195-25-20</f>
        <v>350</v>
      </c>
      <c r="W14" s="169">
        <f>S14+195-20</f>
        <v>375</v>
      </c>
      <c r="X14" s="139">
        <v>0.10299999999999999</v>
      </c>
    </row>
    <row r="15" spans="1:24" x14ac:dyDescent="0.2">
      <c r="A15" s="141" t="s">
        <v>265</v>
      </c>
      <c r="B15" s="141" t="s">
        <v>267</v>
      </c>
      <c r="C15" s="141">
        <v>3</v>
      </c>
      <c r="D15" s="141">
        <v>900</v>
      </c>
      <c r="E15" s="141"/>
      <c r="F15" s="141"/>
      <c r="G15" s="141" t="s">
        <v>89</v>
      </c>
      <c r="H15" s="141" t="s">
        <v>618</v>
      </c>
      <c r="I15" s="141">
        <v>1</v>
      </c>
      <c r="J15" s="141">
        <v>150</v>
      </c>
      <c r="K15" s="128"/>
      <c r="M15" s="128"/>
      <c r="N15" s="128">
        <f t="shared" si="1"/>
        <v>13</v>
      </c>
      <c r="O15" s="145">
        <f>270+100+60</f>
        <v>430</v>
      </c>
      <c r="P15" s="141">
        <v>0</v>
      </c>
      <c r="Q15" s="145">
        <v>200</v>
      </c>
      <c r="R15" s="145">
        <v>400</v>
      </c>
      <c r="S15" s="145">
        <v>300</v>
      </c>
      <c r="T15" s="169">
        <v>5000</v>
      </c>
      <c r="U15" s="169">
        <f t="shared" ref="U15:V19" si="2">Q15+300-50-45</f>
        <v>405</v>
      </c>
      <c r="V15" s="169">
        <f t="shared" si="2"/>
        <v>605</v>
      </c>
      <c r="W15" s="169">
        <f>S15+300-45</f>
        <v>555</v>
      </c>
      <c r="X15" s="139">
        <v>7.5999999999999998E-2</v>
      </c>
    </row>
    <row r="16" spans="1:24" x14ac:dyDescent="0.2">
      <c r="A16" s="141"/>
      <c r="B16" s="141" t="s">
        <v>17</v>
      </c>
      <c r="C16" s="141">
        <v>2</v>
      </c>
      <c r="D16" s="141">
        <v>800</v>
      </c>
      <c r="E16" s="141"/>
      <c r="F16" s="141"/>
      <c r="G16" s="141" t="s">
        <v>89</v>
      </c>
      <c r="H16" s="141" t="s">
        <v>619</v>
      </c>
      <c r="I16" s="141">
        <v>1</v>
      </c>
      <c r="J16" s="141">
        <v>150</v>
      </c>
      <c r="K16" s="128"/>
      <c r="M16" s="128" t="s">
        <v>484</v>
      </c>
      <c r="N16" s="128">
        <f t="shared" si="1"/>
        <v>14</v>
      </c>
      <c r="O16" s="145">
        <v>800</v>
      </c>
      <c r="P16" s="141">
        <v>0</v>
      </c>
      <c r="Q16" s="145">
        <v>200</v>
      </c>
      <c r="R16" s="145">
        <v>400</v>
      </c>
      <c r="S16" s="145">
        <v>300</v>
      </c>
      <c r="T16" s="169">
        <v>5000</v>
      </c>
      <c r="U16" s="169">
        <f t="shared" si="2"/>
        <v>405</v>
      </c>
      <c r="V16" s="169">
        <f t="shared" si="2"/>
        <v>605</v>
      </c>
      <c r="W16" s="169">
        <f>S16+300-45</f>
        <v>555</v>
      </c>
      <c r="X16" s="139">
        <v>0.1242</v>
      </c>
    </row>
    <row r="17" spans="1:24" x14ac:dyDescent="0.2">
      <c r="A17" s="141"/>
      <c r="B17" s="141" t="s">
        <v>18</v>
      </c>
      <c r="C17" s="141">
        <v>2</v>
      </c>
      <c r="D17" s="141">
        <v>800</v>
      </c>
      <c r="E17" s="141"/>
      <c r="F17" s="141"/>
      <c r="G17" s="141"/>
      <c r="H17" s="141" t="s">
        <v>485</v>
      </c>
      <c r="I17" s="141">
        <v>5</v>
      </c>
      <c r="J17" s="141">
        <v>1150</v>
      </c>
      <c r="K17" s="128"/>
      <c r="M17" s="128" t="s">
        <v>256</v>
      </c>
      <c r="N17" s="128">
        <f t="shared" si="1"/>
        <v>15</v>
      </c>
      <c r="O17" s="145">
        <v>800</v>
      </c>
      <c r="P17" s="141">
        <v>0</v>
      </c>
      <c r="Q17" s="145">
        <v>200</v>
      </c>
      <c r="R17" s="145">
        <v>400</v>
      </c>
      <c r="S17" s="145">
        <v>300</v>
      </c>
      <c r="T17" s="169">
        <v>5000</v>
      </c>
      <c r="U17" s="169">
        <f t="shared" si="2"/>
        <v>405</v>
      </c>
      <c r="V17" s="169">
        <f t="shared" si="2"/>
        <v>605</v>
      </c>
      <c r="W17" s="169">
        <f>S17+300-45</f>
        <v>555</v>
      </c>
      <c r="X17" s="139">
        <v>0.1242</v>
      </c>
    </row>
    <row r="18" spans="1:24" x14ac:dyDescent="0.2">
      <c r="A18" s="141" t="s">
        <v>125</v>
      </c>
      <c r="B18" s="141" t="s">
        <v>481</v>
      </c>
      <c r="C18" s="148">
        <v>1</v>
      </c>
      <c r="D18" s="141">
        <v>500</v>
      </c>
      <c r="E18" s="141"/>
      <c r="F18" s="141"/>
      <c r="G18" s="141"/>
      <c r="H18" s="141" t="s">
        <v>486</v>
      </c>
      <c r="I18" s="141">
        <v>5</v>
      </c>
      <c r="J18" s="141">
        <v>1150</v>
      </c>
      <c r="K18" s="128"/>
      <c r="M18" s="128" t="s">
        <v>568</v>
      </c>
      <c r="N18" s="128">
        <f t="shared" si="1"/>
        <v>16</v>
      </c>
      <c r="O18" s="145">
        <v>800</v>
      </c>
      <c r="P18" s="141">
        <v>0</v>
      </c>
      <c r="Q18" s="145">
        <v>200</v>
      </c>
      <c r="R18" s="145">
        <v>400</v>
      </c>
      <c r="S18" s="145">
        <v>300</v>
      </c>
      <c r="T18" s="169">
        <v>5000</v>
      </c>
      <c r="U18" s="169">
        <f t="shared" si="2"/>
        <v>405</v>
      </c>
      <c r="V18" s="169">
        <f t="shared" si="2"/>
        <v>605</v>
      </c>
      <c r="W18" s="169">
        <f>S18+300-45</f>
        <v>555</v>
      </c>
      <c r="X18" s="139">
        <v>0.1</v>
      </c>
    </row>
    <row r="19" spans="1:24" x14ac:dyDescent="0.2">
      <c r="A19" s="141"/>
      <c r="B19" s="141" t="s">
        <v>24</v>
      </c>
      <c r="C19" s="141">
        <v>3</v>
      </c>
      <c r="D19" s="141">
        <v>900</v>
      </c>
      <c r="E19" s="141"/>
      <c r="F19" s="141"/>
      <c r="G19" s="141"/>
      <c r="H19" s="141" t="s">
        <v>487</v>
      </c>
      <c r="I19" s="141">
        <v>5</v>
      </c>
      <c r="J19" s="141">
        <v>1150</v>
      </c>
      <c r="K19" s="128"/>
      <c r="M19" s="128"/>
      <c r="N19" s="128">
        <f t="shared" si="1"/>
        <v>17</v>
      </c>
      <c r="O19" s="145">
        <f>300+50+70</f>
        <v>420</v>
      </c>
      <c r="P19" s="141">
        <v>0</v>
      </c>
      <c r="Q19" s="145">
        <v>200</v>
      </c>
      <c r="R19" s="145">
        <v>400</v>
      </c>
      <c r="S19" s="145">
        <v>300</v>
      </c>
      <c r="T19" s="169">
        <v>5000</v>
      </c>
      <c r="U19" s="169">
        <f t="shared" si="2"/>
        <v>405</v>
      </c>
      <c r="V19" s="169">
        <f t="shared" si="2"/>
        <v>605</v>
      </c>
      <c r="W19" s="169">
        <f>S19+300-45</f>
        <v>555</v>
      </c>
      <c r="X19" s="139">
        <v>7.5999999999999998E-2</v>
      </c>
    </row>
    <row r="20" spans="1:24" x14ac:dyDescent="0.2">
      <c r="A20" s="141"/>
      <c r="B20" s="141" t="s">
        <v>482</v>
      </c>
      <c r="C20" s="141">
        <v>3</v>
      </c>
      <c r="D20" s="141">
        <v>900</v>
      </c>
      <c r="E20" s="141"/>
      <c r="F20" s="141"/>
      <c r="G20" s="141"/>
      <c r="H20" s="141" t="s">
        <v>245</v>
      </c>
      <c r="I20" s="141">
        <v>2</v>
      </c>
      <c r="J20" s="141">
        <v>150</v>
      </c>
      <c r="K20" s="128"/>
      <c r="M20" s="128"/>
      <c r="N20" s="128">
        <f t="shared" si="1"/>
        <v>18</v>
      </c>
      <c r="O20" s="145">
        <f>330+50+100</f>
        <v>480</v>
      </c>
      <c r="P20" s="141">
        <v>0</v>
      </c>
      <c r="Q20" s="145">
        <v>150</v>
      </c>
      <c r="R20" s="145">
        <v>200</v>
      </c>
      <c r="S20" s="145">
        <v>200</v>
      </c>
      <c r="T20" s="169">
        <f>195-25</f>
        <v>170</v>
      </c>
      <c r="U20" s="169">
        <f>Q20+195-25-20</f>
        <v>300</v>
      </c>
      <c r="V20" s="169">
        <f>R20+195-25-20</f>
        <v>350</v>
      </c>
      <c r="W20" s="169">
        <f>S20+195-20</f>
        <v>375</v>
      </c>
      <c r="X20" s="139">
        <v>9.6000000000000002E-2</v>
      </c>
    </row>
    <row r="21" spans="1:24" x14ac:dyDescent="0.2">
      <c r="A21" s="141" t="s">
        <v>298</v>
      </c>
      <c r="B21" s="141" t="s">
        <v>297</v>
      </c>
      <c r="C21" s="141">
        <v>5</v>
      </c>
      <c r="D21" s="141">
        <v>1200</v>
      </c>
      <c r="E21" s="141"/>
      <c r="F21" s="141"/>
      <c r="G21" s="141"/>
      <c r="H21" s="141" t="s">
        <v>249</v>
      </c>
      <c r="I21" s="141">
        <v>2</v>
      </c>
      <c r="J21" s="141">
        <v>150</v>
      </c>
      <c r="K21" s="128"/>
      <c r="M21" s="128"/>
      <c r="N21" s="128">
        <f t="shared" si="1"/>
        <v>19</v>
      </c>
      <c r="O21" s="145">
        <f>330+50+100</f>
        <v>480</v>
      </c>
      <c r="P21" s="141">
        <v>0</v>
      </c>
      <c r="Q21" s="145">
        <v>150</v>
      </c>
      <c r="R21" s="145">
        <v>200</v>
      </c>
      <c r="S21" s="145">
        <v>200</v>
      </c>
      <c r="T21" s="169">
        <f>195-25</f>
        <v>170</v>
      </c>
      <c r="U21" s="169">
        <f>Q21+195-25-20</f>
        <v>300</v>
      </c>
      <c r="V21" s="169">
        <f>R21+195-25-20</f>
        <v>350</v>
      </c>
      <c r="W21" s="169">
        <f>S21+195-20</f>
        <v>375</v>
      </c>
      <c r="X21" s="139">
        <v>9.0999999999999998E-2</v>
      </c>
    </row>
    <row r="22" spans="1:24" x14ac:dyDescent="0.2">
      <c r="A22" s="141"/>
      <c r="B22" s="141" t="s">
        <v>19</v>
      </c>
      <c r="C22" s="141">
        <v>2</v>
      </c>
      <c r="D22" s="141">
        <v>800</v>
      </c>
      <c r="E22" s="141"/>
      <c r="F22" s="141"/>
      <c r="G22" s="141" t="s">
        <v>265</v>
      </c>
      <c r="H22" s="141" t="s">
        <v>268</v>
      </c>
      <c r="I22" s="141">
        <v>3</v>
      </c>
      <c r="J22" s="141">
        <v>450</v>
      </c>
      <c r="K22" s="128"/>
      <c r="M22" s="128" t="s">
        <v>257</v>
      </c>
      <c r="N22" s="128">
        <f t="shared" si="1"/>
        <v>20</v>
      </c>
      <c r="O22" s="145">
        <v>800</v>
      </c>
      <c r="P22" s="141">
        <v>0</v>
      </c>
      <c r="Q22" s="145">
        <v>200</v>
      </c>
      <c r="R22" s="145">
        <v>400</v>
      </c>
      <c r="S22" s="145">
        <v>300</v>
      </c>
      <c r="T22" s="169">
        <v>5000</v>
      </c>
      <c r="U22" s="169">
        <f t="shared" ref="U22:U34" si="3">Q22+300-50-45</f>
        <v>405</v>
      </c>
      <c r="V22" s="169">
        <f t="shared" ref="V22:V34" si="4">R22+300-50-45</f>
        <v>605</v>
      </c>
      <c r="W22" s="169">
        <f t="shared" ref="W22:W34" si="5">S22+300-45</f>
        <v>555</v>
      </c>
      <c r="X22" s="139">
        <v>0.1242</v>
      </c>
    </row>
    <row r="23" spans="1:24" x14ac:dyDescent="0.2">
      <c r="A23" s="141">
        <v>19</v>
      </c>
      <c r="B23" s="141" t="s">
        <v>483</v>
      </c>
      <c r="C23" s="141">
        <v>4</v>
      </c>
      <c r="D23" s="141">
        <v>1000</v>
      </c>
      <c r="E23" s="141"/>
      <c r="F23" s="141"/>
      <c r="G23" s="141"/>
      <c r="H23" s="141" t="s">
        <v>203</v>
      </c>
      <c r="I23" s="141">
        <v>2</v>
      </c>
      <c r="J23" s="141">
        <v>150</v>
      </c>
      <c r="K23" s="128"/>
      <c r="M23" s="128" t="s">
        <v>190</v>
      </c>
      <c r="N23" s="128">
        <f t="shared" si="1"/>
        <v>21</v>
      </c>
      <c r="O23" s="145">
        <v>800</v>
      </c>
      <c r="P23" s="141">
        <v>0</v>
      </c>
      <c r="Q23" s="145">
        <v>200</v>
      </c>
      <c r="R23" s="145">
        <v>400</v>
      </c>
      <c r="S23" s="145">
        <v>300</v>
      </c>
      <c r="T23" s="169">
        <v>5000</v>
      </c>
      <c r="U23" s="169">
        <f t="shared" si="3"/>
        <v>405</v>
      </c>
      <c r="V23" s="169">
        <f t="shared" si="4"/>
        <v>605</v>
      </c>
      <c r="W23" s="169">
        <f t="shared" si="5"/>
        <v>555</v>
      </c>
      <c r="X23" s="139">
        <v>0.12</v>
      </c>
    </row>
    <row r="24" spans="1:24" x14ac:dyDescent="0.2">
      <c r="A24" s="141">
        <v>19</v>
      </c>
      <c r="B24" s="141" t="s">
        <v>684</v>
      </c>
      <c r="C24" s="141">
        <v>3</v>
      </c>
      <c r="D24" s="141">
        <v>900</v>
      </c>
      <c r="E24" s="141"/>
      <c r="F24" s="141"/>
      <c r="G24" s="141"/>
      <c r="H24" s="141" t="s">
        <v>52</v>
      </c>
      <c r="I24" s="141">
        <v>2</v>
      </c>
      <c r="J24" s="141">
        <v>150</v>
      </c>
      <c r="K24" s="128"/>
      <c r="M24" s="128" t="s">
        <v>162</v>
      </c>
      <c r="N24" s="128">
        <f t="shared" si="1"/>
        <v>22</v>
      </c>
      <c r="O24" s="145">
        <v>800</v>
      </c>
      <c r="P24" s="141">
        <v>0</v>
      </c>
      <c r="Q24" s="145">
        <v>200</v>
      </c>
      <c r="R24" s="145">
        <v>400</v>
      </c>
      <c r="S24" s="145">
        <v>300</v>
      </c>
      <c r="T24" s="169">
        <v>5000</v>
      </c>
      <c r="U24" s="169">
        <f t="shared" si="3"/>
        <v>405</v>
      </c>
      <c r="V24" s="169">
        <f t="shared" si="4"/>
        <v>605</v>
      </c>
      <c r="W24" s="169">
        <f t="shared" si="5"/>
        <v>555</v>
      </c>
      <c r="X24" s="139">
        <v>0.1242</v>
      </c>
    </row>
    <row r="25" spans="1:24" x14ac:dyDescent="0.2">
      <c r="A25" s="141"/>
      <c r="B25" s="141" t="s">
        <v>520</v>
      </c>
      <c r="C25" s="141">
        <v>5</v>
      </c>
      <c r="D25" s="141">
        <v>1200</v>
      </c>
      <c r="E25" s="141"/>
      <c r="F25" s="141"/>
      <c r="G25" s="141"/>
      <c r="H25" s="141" t="s">
        <v>51</v>
      </c>
      <c r="I25" s="141">
        <v>2</v>
      </c>
      <c r="J25" s="141">
        <v>150</v>
      </c>
      <c r="K25" s="128"/>
      <c r="M25" s="128" t="s">
        <v>163</v>
      </c>
      <c r="N25" s="128">
        <f t="shared" si="1"/>
        <v>23</v>
      </c>
      <c r="O25" s="145">
        <v>1000</v>
      </c>
      <c r="P25" s="141">
        <v>0</v>
      </c>
      <c r="Q25" s="145">
        <v>200</v>
      </c>
      <c r="R25" s="145">
        <v>400</v>
      </c>
      <c r="S25" s="145">
        <v>300</v>
      </c>
      <c r="T25" s="169">
        <v>5000</v>
      </c>
      <c r="U25" s="169">
        <f t="shared" si="3"/>
        <v>405</v>
      </c>
      <c r="V25" s="169">
        <f t="shared" si="4"/>
        <v>605</v>
      </c>
      <c r="W25" s="169">
        <f t="shared" si="5"/>
        <v>555</v>
      </c>
      <c r="X25" s="139">
        <v>0.1242</v>
      </c>
    </row>
    <row r="26" spans="1:24" x14ac:dyDescent="0.2">
      <c r="A26" s="141"/>
      <c r="B26" s="141" t="s">
        <v>504</v>
      </c>
      <c r="C26" s="141">
        <v>5</v>
      </c>
      <c r="D26" s="141">
        <v>1200</v>
      </c>
      <c r="E26" s="141"/>
      <c r="F26" s="141"/>
      <c r="G26" s="141"/>
      <c r="H26" s="141" t="s">
        <v>223</v>
      </c>
      <c r="I26" s="141">
        <v>2</v>
      </c>
      <c r="J26" s="141">
        <v>150</v>
      </c>
      <c r="K26" s="128"/>
      <c r="M26" s="128" t="s">
        <v>258</v>
      </c>
      <c r="N26" s="128">
        <f t="shared" si="1"/>
        <v>24</v>
      </c>
      <c r="O26" s="145">
        <v>1000</v>
      </c>
      <c r="P26" s="141">
        <v>0</v>
      </c>
      <c r="Q26" s="145">
        <v>200</v>
      </c>
      <c r="R26" s="145">
        <v>400</v>
      </c>
      <c r="S26" s="145">
        <v>300</v>
      </c>
      <c r="T26" s="169">
        <v>5000</v>
      </c>
      <c r="U26" s="169">
        <f t="shared" si="3"/>
        <v>405</v>
      </c>
      <c r="V26" s="169">
        <f t="shared" si="4"/>
        <v>605</v>
      </c>
      <c r="W26" s="169">
        <f t="shared" si="5"/>
        <v>555</v>
      </c>
      <c r="X26" s="139">
        <v>0.1242</v>
      </c>
    </row>
    <row r="27" spans="1:24" x14ac:dyDescent="0.2">
      <c r="A27" s="141" t="s">
        <v>265</v>
      </c>
      <c r="B27" s="141" t="s">
        <v>269</v>
      </c>
      <c r="C27" s="141">
        <v>5</v>
      </c>
      <c r="D27" s="141">
        <v>1200</v>
      </c>
      <c r="E27" s="141"/>
      <c r="F27" s="141"/>
      <c r="G27" s="141"/>
      <c r="H27" s="141" t="s">
        <v>54</v>
      </c>
      <c r="I27" s="141">
        <v>2</v>
      </c>
      <c r="J27" s="141">
        <v>150</v>
      </c>
      <c r="K27" s="128"/>
      <c r="M27" s="128" t="s">
        <v>259</v>
      </c>
      <c r="N27" s="128">
        <f t="shared" si="1"/>
        <v>25</v>
      </c>
      <c r="O27" s="145">
        <v>1000</v>
      </c>
      <c r="P27" s="141">
        <v>0</v>
      </c>
      <c r="Q27" s="145">
        <v>200</v>
      </c>
      <c r="R27" s="145">
        <v>400</v>
      </c>
      <c r="S27" s="145">
        <v>300</v>
      </c>
      <c r="T27" s="169">
        <v>5000</v>
      </c>
      <c r="U27" s="169">
        <f t="shared" si="3"/>
        <v>405</v>
      </c>
      <c r="V27" s="169">
        <f t="shared" si="4"/>
        <v>605</v>
      </c>
      <c r="W27" s="169">
        <f t="shared" si="5"/>
        <v>555</v>
      </c>
      <c r="X27" s="139">
        <v>0.1242</v>
      </c>
    </row>
    <row r="28" spans="1:24" x14ac:dyDescent="0.2">
      <c r="A28" s="141" t="s">
        <v>279</v>
      </c>
      <c r="B28" s="141" t="s">
        <v>278</v>
      </c>
      <c r="C28" s="141">
        <v>5</v>
      </c>
      <c r="D28" s="141">
        <v>1200</v>
      </c>
      <c r="E28" s="141"/>
      <c r="F28" s="141"/>
      <c r="G28" s="141"/>
      <c r="H28" s="141" t="s">
        <v>53</v>
      </c>
      <c r="I28" s="141">
        <v>2</v>
      </c>
      <c r="J28" s="141">
        <v>150</v>
      </c>
      <c r="K28" s="128"/>
      <c r="M28" s="128" t="s">
        <v>488</v>
      </c>
      <c r="N28" s="128">
        <f t="shared" si="1"/>
        <v>26</v>
      </c>
      <c r="O28" s="145">
        <v>800</v>
      </c>
      <c r="P28" s="141">
        <v>0</v>
      </c>
      <c r="Q28" s="145">
        <v>200</v>
      </c>
      <c r="R28" s="145">
        <v>400</v>
      </c>
      <c r="S28" s="145">
        <v>300</v>
      </c>
      <c r="T28" s="169">
        <v>5000</v>
      </c>
      <c r="U28" s="169">
        <f t="shared" si="3"/>
        <v>405</v>
      </c>
      <c r="V28" s="169">
        <f t="shared" si="4"/>
        <v>605</v>
      </c>
      <c r="W28" s="169">
        <f t="shared" si="5"/>
        <v>555</v>
      </c>
      <c r="X28" s="139">
        <v>0.2</v>
      </c>
    </row>
    <row r="29" spans="1:24" x14ac:dyDescent="0.2">
      <c r="A29" s="141"/>
      <c r="B29" s="141" t="s">
        <v>20</v>
      </c>
      <c r="C29" s="141">
        <v>2</v>
      </c>
      <c r="D29" s="141">
        <v>800</v>
      </c>
      <c r="E29" s="141"/>
      <c r="F29" s="141"/>
      <c r="G29" s="141"/>
      <c r="H29" s="141" t="s">
        <v>224</v>
      </c>
      <c r="I29" s="141">
        <v>3</v>
      </c>
      <c r="J29" s="141">
        <v>450</v>
      </c>
      <c r="K29" s="128"/>
      <c r="M29" s="128" t="s">
        <v>260</v>
      </c>
      <c r="N29" s="128">
        <f t="shared" si="1"/>
        <v>27</v>
      </c>
      <c r="O29" s="145">
        <v>1300</v>
      </c>
      <c r="P29" s="141">
        <v>0</v>
      </c>
      <c r="Q29" s="145">
        <v>200</v>
      </c>
      <c r="R29" s="145">
        <v>400</v>
      </c>
      <c r="S29" s="145">
        <v>300</v>
      </c>
      <c r="T29" s="169">
        <v>5000</v>
      </c>
      <c r="U29" s="169">
        <f t="shared" si="3"/>
        <v>405</v>
      </c>
      <c r="V29" s="169">
        <f t="shared" si="4"/>
        <v>605</v>
      </c>
      <c r="W29" s="169">
        <f t="shared" si="5"/>
        <v>555</v>
      </c>
      <c r="X29" s="139">
        <v>0.20699999999999999</v>
      </c>
    </row>
    <row r="30" spans="1:24" x14ac:dyDescent="0.2">
      <c r="A30" s="141" t="s">
        <v>279</v>
      </c>
      <c r="B30" s="141" t="s">
        <v>280</v>
      </c>
      <c r="C30" s="141">
        <v>5</v>
      </c>
      <c r="D30" s="141">
        <v>1200</v>
      </c>
      <c r="E30" s="141">
        <v>280</v>
      </c>
      <c r="F30" s="141"/>
      <c r="G30" s="141"/>
      <c r="H30" s="141" t="s">
        <v>548</v>
      </c>
      <c r="I30" s="141">
        <v>3</v>
      </c>
      <c r="J30" s="141">
        <v>450</v>
      </c>
      <c r="K30" s="128"/>
      <c r="M30" s="128" t="s">
        <v>261</v>
      </c>
      <c r="N30" s="128">
        <f t="shared" si="1"/>
        <v>28</v>
      </c>
      <c r="O30" s="145">
        <v>800</v>
      </c>
      <c r="P30" s="141">
        <v>0</v>
      </c>
      <c r="Q30" s="145">
        <v>200</v>
      </c>
      <c r="R30" s="145">
        <v>400</v>
      </c>
      <c r="S30" s="145">
        <v>300</v>
      </c>
      <c r="T30" s="169">
        <v>5000</v>
      </c>
      <c r="U30" s="169">
        <f t="shared" si="3"/>
        <v>405</v>
      </c>
      <c r="V30" s="169">
        <f t="shared" si="4"/>
        <v>605</v>
      </c>
      <c r="W30" s="169">
        <f t="shared" si="5"/>
        <v>555</v>
      </c>
      <c r="X30" s="139">
        <v>0.1242</v>
      </c>
    </row>
    <row r="31" spans="1:24" x14ac:dyDescent="0.2">
      <c r="A31" s="141" t="s">
        <v>279</v>
      </c>
      <c r="B31" s="141" t="s">
        <v>549</v>
      </c>
      <c r="C31" s="141">
        <v>5</v>
      </c>
      <c r="D31" s="141">
        <v>1200</v>
      </c>
      <c r="E31" s="141"/>
      <c r="F31" s="141"/>
      <c r="G31" s="141"/>
      <c r="H31" s="141" t="s">
        <v>225</v>
      </c>
      <c r="I31" s="141">
        <v>2</v>
      </c>
      <c r="J31" s="141">
        <v>150</v>
      </c>
      <c r="K31" s="128"/>
      <c r="M31" s="128" t="s">
        <v>569</v>
      </c>
      <c r="N31" s="128">
        <f t="shared" si="1"/>
        <v>29</v>
      </c>
      <c r="O31" s="145">
        <v>1300</v>
      </c>
      <c r="P31" s="141">
        <v>0</v>
      </c>
      <c r="Q31" s="145">
        <v>200</v>
      </c>
      <c r="R31" s="145">
        <v>400</v>
      </c>
      <c r="S31" s="145">
        <v>300</v>
      </c>
      <c r="T31" s="169">
        <v>5000</v>
      </c>
      <c r="U31" s="169">
        <f t="shared" si="3"/>
        <v>405</v>
      </c>
      <c r="V31" s="169">
        <f t="shared" si="4"/>
        <v>605</v>
      </c>
      <c r="W31" s="169">
        <f t="shared" si="5"/>
        <v>555</v>
      </c>
      <c r="X31" s="139">
        <v>0.36</v>
      </c>
    </row>
    <row r="32" spans="1:24" x14ac:dyDescent="0.2">
      <c r="A32" s="141"/>
      <c r="B32" s="141" t="s">
        <v>191</v>
      </c>
      <c r="C32" s="141">
        <v>1</v>
      </c>
      <c r="D32" s="141">
        <v>0</v>
      </c>
      <c r="E32" s="141"/>
      <c r="F32" s="141"/>
      <c r="G32" s="141"/>
      <c r="H32" s="141" t="s">
        <v>56</v>
      </c>
      <c r="I32" s="141">
        <v>2</v>
      </c>
      <c r="J32" s="141">
        <v>150</v>
      </c>
      <c r="K32" s="128"/>
      <c r="M32" s="108" t="s">
        <v>262</v>
      </c>
      <c r="N32" s="128">
        <f t="shared" si="1"/>
        <v>30</v>
      </c>
      <c r="O32" s="145">
        <v>800</v>
      </c>
      <c r="P32" s="141">
        <v>0</v>
      </c>
      <c r="Q32" s="145">
        <v>200</v>
      </c>
      <c r="R32" s="145">
        <v>400</v>
      </c>
      <c r="S32" s="145">
        <v>300</v>
      </c>
      <c r="T32" s="169">
        <v>5000</v>
      </c>
      <c r="U32" s="169">
        <f t="shared" si="3"/>
        <v>405</v>
      </c>
      <c r="V32" s="169">
        <f t="shared" si="4"/>
        <v>605</v>
      </c>
      <c r="W32" s="169">
        <f t="shared" si="5"/>
        <v>555</v>
      </c>
      <c r="X32" s="139">
        <v>0.1242</v>
      </c>
    </row>
    <row r="33" spans="1:24" x14ac:dyDescent="0.2">
      <c r="A33" s="141"/>
      <c r="B33" s="141" t="s">
        <v>192</v>
      </c>
      <c r="C33" s="141">
        <v>1</v>
      </c>
      <c r="D33" s="141">
        <v>0</v>
      </c>
      <c r="E33" s="141"/>
      <c r="F33" s="141"/>
      <c r="G33" s="141"/>
      <c r="H33" s="141" t="s">
        <v>55</v>
      </c>
      <c r="I33" s="141">
        <v>2</v>
      </c>
      <c r="J33" s="141">
        <v>150</v>
      </c>
      <c r="K33" s="128"/>
      <c r="M33" s="128" t="s">
        <v>164</v>
      </c>
      <c r="N33" s="128">
        <f t="shared" si="1"/>
        <v>31</v>
      </c>
      <c r="O33" s="145">
        <v>1100</v>
      </c>
      <c r="P33" s="141">
        <v>0</v>
      </c>
      <c r="Q33" s="145">
        <v>200</v>
      </c>
      <c r="R33" s="145">
        <v>400</v>
      </c>
      <c r="S33" s="145">
        <v>300</v>
      </c>
      <c r="T33" s="169">
        <v>5000</v>
      </c>
      <c r="U33" s="169">
        <f t="shared" si="3"/>
        <v>405</v>
      </c>
      <c r="V33" s="169">
        <f t="shared" si="4"/>
        <v>605</v>
      </c>
      <c r="W33" s="169">
        <f t="shared" si="5"/>
        <v>555</v>
      </c>
      <c r="X33" s="139">
        <v>0.2</v>
      </c>
    </row>
    <row r="34" spans="1:24" x14ac:dyDescent="0.2">
      <c r="A34" s="141" t="s">
        <v>125</v>
      </c>
      <c r="B34" s="141" t="s">
        <v>519</v>
      </c>
      <c r="C34" s="148">
        <v>2</v>
      </c>
      <c r="D34" s="141">
        <f>650+50+68</f>
        <v>768</v>
      </c>
      <c r="E34" s="141"/>
      <c r="F34" s="141"/>
      <c r="G34" s="141"/>
      <c r="H34" s="141" t="s">
        <v>570</v>
      </c>
      <c r="I34" s="141">
        <v>4</v>
      </c>
      <c r="J34" s="141">
        <v>750</v>
      </c>
      <c r="K34" s="128"/>
      <c r="M34" s="108" t="s">
        <v>263</v>
      </c>
      <c r="N34" s="128">
        <f t="shared" si="1"/>
        <v>32</v>
      </c>
      <c r="O34" s="145">
        <v>1100</v>
      </c>
      <c r="P34" s="141">
        <v>0</v>
      </c>
      <c r="Q34" s="145">
        <v>200</v>
      </c>
      <c r="R34" s="145">
        <v>400</v>
      </c>
      <c r="S34" s="145">
        <v>300</v>
      </c>
      <c r="T34" s="169">
        <v>5000</v>
      </c>
      <c r="U34" s="169">
        <f t="shared" si="3"/>
        <v>405</v>
      </c>
      <c r="V34" s="169">
        <f t="shared" si="4"/>
        <v>605</v>
      </c>
      <c r="W34" s="169">
        <f t="shared" si="5"/>
        <v>555</v>
      </c>
      <c r="X34" s="139">
        <v>0.20699999999999999</v>
      </c>
    </row>
    <row r="35" spans="1:24" x14ac:dyDescent="0.2">
      <c r="A35" s="141" t="s">
        <v>125</v>
      </c>
      <c r="B35" s="141" t="s">
        <v>133</v>
      </c>
      <c r="C35" s="148">
        <v>1</v>
      </c>
      <c r="D35" s="141">
        <v>500</v>
      </c>
      <c r="E35" s="141"/>
      <c r="F35" s="141"/>
      <c r="G35" s="141"/>
      <c r="H35" s="141" t="s">
        <v>571</v>
      </c>
      <c r="I35" s="141">
        <v>4</v>
      </c>
      <c r="J35" s="141">
        <v>750</v>
      </c>
      <c r="K35" s="128"/>
      <c r="M35" s="108" t="s">
        <v>658</v>
      </c>
      <c r="N35" s="128">
        <f t="shared" si="1"/>
        <v>33</v>
      </c>
      <c r="O35" s="145">
        <f>390+80</f>
        <v>470</v>
      </c>
      <c r="P35" s="141">
        <v>0</v>
      </c>
      <c r="Q35" s="145">
        <v>180</v>
      </c>
      <c r="R35" s="145">
        <v>180</v>
      </c>
      <c r="S35" s="145">
        <v>180</v>
      </c>
      <c r="T35" s="169">
        <f>270-70</f>
        <v>200</v>
      </c>
      <c r="U35" s="169">
        <f>Q35+270-70-35</f>
        <v>345</v>
      </c>
      <c r="V35" s="169">
        <f>R35+270-70-35</f>
        <v>345</v>
      </c>
      <c r="W35" s="169">
        <f>S35+270-35</f>
        <v>415</v>
      </c>
      <c r="X35" s="139">
        <v>4.2000000000000003E-2</v>
      </c>
    </row>
    <row r="36" spans="1:24" x14ac:dyDescent="0.2">
      <c r="A36" s="141" t="s">
        <v>125</v>
      </c>
      <c r="B36" s="141" t="s">
        <v>131</v>
      </c>
      <c r="C36" s="148">
        <v>1</v>
      </c>
      <c r="D36" s="141">
        <v>500</v>
      </c>
      <c r="E36" s="141"/>
      <c r="F36" s="141"/>
      <c r="G36" s="141"/>
      <c r="H36" s="141" t="s">
        <v>572</v>
      </c>
      <c r="I36" s="141">
        <v>4</v>
      </c>
      <c r="J36" s="141">
        <v>750</v>
      </c>
      <c r="K36" s="128"/>
      <c r="M36" s="108" t="s">
        <v>659</v>
      </c>
      <c r="N36" s="128">
        <f t="shared" si="1"/>
        <v>34</v>
      </c>
      <c r="O36" s="145">
        <f>390+80</f>
        <v>470</v>
      </c>
      <c r="P36" s="141">
        <v>0</v>
      </c>
      <c r="Q36" s="145">
        <v>180</v>
      </c>
      <c r="R36" s="145">
        <v>180</v>
      </c>
      <c r="S36" s="145">
        <v>180</v>
      </c>
      <c r="T36" s="169">
        <f t="shared" ref="T36:T47" si="6">270-70</f>
        <v>200</v>
      </c>
      <c r="U36" s="169">
        <f t="shared" ref="U36:U47" si="7">Q36+270-70-35</f>
        <v>345</v>
      </c>
      <c r="V36" s="169">
        <f t="shared" ref="V36:V47" si="8">R36+270-70-35</f>
        <v>345</v>
      </c>
      <c r="W36" s="169">
        <f t="shared" ref="W36:W47" si="9">S36+270-35</f>
        <v>415</v>
      </c>
      <c r="X36" s="139">
        <v>4.2000000000000003E-2</v>
      </c>
    </row>
    <row r="37" spans="1:24" x14ac:dyDescent="0.2">
      <c r="A37" s="141" t="s">
        <v>125</v>
      </c>
      <c r="B37" s="141" t="s">
        <v>489</v>
      </c>
      <c r="C37" s="148">
        <v>1</v>
      </c>
      <c r="D37" s="141">
        <v>500</v>
      </c>
      <c r="E37" s="141"/>
      <c r="F37" s="141"/>
      <c r="G37" s="141"/>
      <c r="H37" s="141" t="s">
        <v>521</v>
      </c>
      <c r="I37" s="141">
        <v>5</v>
      </c>
      <c r="J37" s="141">
        <v>1150</v>
      </c>
      <c r="K37" s="128"/>
      <c r="M37" s="108" t="s">
        <v>660</v>
      </c>
      <c r="N37" s="128">
        <f t="shared" si="1"/>
        <v>35</v>
      </c>
      <c r="O37" s="145">
        <f>420+80</f>
        <v>500</v>
      </c>
      <c r="P37" s="141">
        <v>0</v>
      </c>
      <c r="Q37" s="145">
        <v>180</v>
      </c>
      <c r="R37" s="145">
        <v>180</v>
      </c>
      <c r="S37" s="145">
        <v>180</v>
      </c>
      <c r="T37" s="169">
        <f t="shared" si="6"/>
        <v>200</v>
      </c>
      <c r="U37" s="169">
        <f t="shared" si="7"/>
        <v>345</v>
      </c>
      <c r="V37" s="169">
        <f t="shared" si="8"/>
        <v>345</v>
      </c>
      <c r="W37" s="169">
        <f t="shared" si="9"/>
        <v>415</v>
      </c>
      <c r="X37" s="139">
        <v>0.06</v>
      </c>
    </row>
    <row r="38" spans="1:24" x14ac:dyDescent="0.2">
      <c r="A38" s="141" t="s">
        <v>125</v>
      </c>
      <c r="B38" s="141" t="s">
        <v>130</v>
      </c>
      <c r="C38" s="148">
        <v>1</v>
      </c>
      <c r="D38" s="141">
        <v>500</v>
      </c>
      <c r="E38" s="141"/>
      <c r="F38" s="141"/>
      <c r="G38" s="141"/>
      <c r="H38" s="141" t="s">
        <v>505</v>
      </c>
      <c r="I38" s="141">
        <v>5</v>
      </c>
      <c r="J38" s="141">
        <v>1150</v>
      </c>
      <c r="K38" s="128"/>
      <c r="M38" s="108" t="s">
        <v>661</v>
      </c>
      <c r="N38" s="128">
        <f t="shared" si="1"/>
        <v>36</v>
      </c>
      <c r="O38" s="145">
        <f>420+80</f>
        <v>500</v>
      </c>
      <c r="P38" s="141">
        <v>0</v>
      </c>
      <c r="Q38" s="145">
        <v>180</v>
      </c>
      <c r="R38" s="145">
        <v>180</v>
      </c>
      <c r="S38" s="145">
        <v>180</v>
      </c>
      <c r="T38" s="169">
        <f t="shared" si="6"/>
        <v>200</v>
      </c>
      <c r="U38" s="169">
        <f t="shared" si="7"/>
        <v>345</v>
      </c>
      <c r="V38" s="169">
        <f t="shared" si="8"/>
        <v>345</v>
      </c>
      <c r="W38" s="169">
        <f t="shared" si="9"/>
        <v>415</v>
      </c>
      <c r="X38" s="139">
        <v>0.06</v>
      </c>
    </row>
    <row r="39" spans="1:24" x14ac:dyDescent="0.2">
      <c r="A39" s="141" t="s">
        <v>125</v>
      </c>
      <c r="B39" s="141" t="s">
        <v>208</v>
      </c>
      <c r="C39" s="141">
        <v>3</v>
      </c>
      <c r="D39" s="141">
        <f>1600+100+68+1000</f>
        <v>2768</v>
      </c>
      <c r="E39" s="141"/>
      <c r="F39" s="141"/>
      <c r="G39" s="141"/>
      <c r="H39" s="141" t="s">
        <v>522</v>
      </c>
      <c r="I39" s="141">
        <v>5</v>
      </c>
      <c r="J39" s="141">
        <v>1150</v>
      </c>
      <c r="K39" s="128"/>
      <c r="M39" s="108" t="s">
        <v>662</v>
      </c>
      <c r="N39" s="128">
        <f t="shared" si="1"/>
        <v>37</v>
      </c>
      <c r="O39" s="145">
        <f>540+100</f>
        <v>640</v>
      </c>
      <c r="P39" s="141">
        <v>0</v>
      </c>
      <c r="Q39" s="145">
        <v>180</v>
      </c>
      <c r="R39" s="145">
        <v>180</v>
      </c>
      <c r="S39" s="145">
        <v>180</v>
      </c>
      <c r="T39" s="169">
        <f t="shared" si="6"/>
        <v>200</v>
      </c>
      <c r="U39" s="169">
        <f t="shared" si="7"/>
        <v>345</v>
      </c>
      <c r="V39" s="169">
        <f t="shared" si="8"/>
        <v>345</v>
      </c>
      <c r="W39" s="169">
        <f t="shared" si="9"/>
        <v>415</v>
      </c>
      <c r="X39" s="139">
        <v>8.4000000000000005E-2</v>
      </c>
    </row>
    <row r="40" spans="1:24" x14ac:dyDescent="0.2">
      <c r="A40" s="141" t="s">
        <v>125</v>
      </c>
      <c r="B40" s="141" t="s">
        <v>490</v>
      </c>
      <c r="C40" s="141">
        <v>1</v>
      </c>
      <c r="D40" s="141">
        <v>500</v>
      </c>
      <c r="E40" s="141"/>
      <c r="F40" s="141"/>
      <c r="G40" s="141"/>
      <c r="H40" s="141" t="s">
        <v>506</v>
      </c>
      <c r="I40" s="141">
        <v>5</v>
      </c>
      <c r="J40" s="141">
        <v>1150</v>
      </c>
      <c r="K40" s="128"/>
      <c r="M40" s="128" t="s">
        <v>663</v>
      </c>
      <c r="N40" s="128">
        <f t="shared" si="1"/>
        <v>38</v>
      </c>
      <c r="O40" s="145">
        <f>540+100</f>
        <v>640</v>
      </c>
      <c r="P40" s="141">
        <v>0</v>
      </c>
      <c r="Q40" s="145">
        <v>180</v>
      </c>
      <c r="R40" s="145">
        <v>180</v>
      </c>
      <c r="S40" s="145">
        <v>180</v>
      </c>
      <c r="T40" s="169">
        <f t="shared" si="6"/>
        <v>200</v>
      </c>
      <c r="U40" s="169">
        <f t="shared" si="7"/>
        <v>345</v>
      </c>
      <c r="V40" s="169">
        <f t="shared" si="8"/>
        <v>345</v>
      </c>
      <c r="W40" s="169">
        <f t="shared" si="9"/>
        <v>415</v>
      </c>
      <c r="X40" s="139">
        <v>8.4000000000000005E-2</v>
      </c>
    </row>
    <row r="41" spans="1:24" x14ac:dyDescent="0.2">
      <c r="A41" s="141" t="s">
        <v>125</v>
      </c>
      <c r="B41" s="141" t="s">
        <v>137</v>
      </c>
      <c r="C41" s="148">
        <v>2</v>
      </c>
      <c r="D41" s="141">
        <f>650+50+68</f>
        <v>768</v>
      </c>
      <c r="E41" s="141"/>
      <c r="F41" s="141"/>
      <c r="G41" s="141"/>
      <c r="H41" s="141" t="s">
        <v>523</v>
      </c>
      <c r="I41" s="141">
        <v>5</v>
      </c>
      <c r="J41" s="141">
        <v>1150</v>
      </c>
      <c r="K41" s="128"/>
      <c r="M41" s="128" t="s">
        <v>664</v>
      </c>
      <c r="N41" s="128">
        <f t="shared" si="1"/>
        <v>39</v>
      </c>
      <c r="O41" s="145">
        <f>580+100</f>
        <v>680</v>
      </c>
      <c r="P41" s="141">
        <v>0</v>
      </c>
      <c r="Q41" s="145">
        <v>180</v>
      </c>
      <c r="R41" s="145">
        <v>180</v>
      </c>
      <c r="S41" s="145">
        <v>180</v>
      </c>
      <c r="T41" s="169">
        <f t="shared" si="6"/>
        <v>200</v>
      </c>
      <c r="U41" s="169">
        <f t="shared" si="7"/>
        <v>345</v>
      </c>
      <c r="V41" s="169">
        <f t="shared" si="8"/>
        <v>345</v>
      </c>
      <c r="W41" s="169">
        <f t="shared" si="9"/>
        <v>415</v>
      </c>
      <c r="X41" s="139">
        <v>0.11799999999999999</v>
      </c>
    </row>
    <row r="42" spans="1:24" x14ac:dyDescent="0.2">
      <c r="A42" s="141" t="s">
        <v>125</v>
      </c>
      <c r="B42" s="141" t="s">
        <v>138</v>
      </c>
      <c r="C42" s="148">
        <v>2</v>
      </c>
      <c r="D42" s="141">
        <f>650+50+68</f>
        <v>768</v>
      </c>
      <c r="E42" s="141"/>
      <c r="F42" s="141"/>
      <c r="G42" s="141"/>
      <c r="H42" s="141" t="s">
        <v>507</v>
      </c>
      <c r="I42" s="141">
        <v>5</v>
      </c>
      <c r="J42" s="141">
        <v>1150</v>
      </c>
      <c r="K42" s="128"/>
      <c r="M42" s="128" t="s">
        <v>665</v>
      </c>
      <c r="N42" s="128">
        <f t="shared" si="1"/>
        <v>40</v>
      </c>
      <c r="O42" s="145">
        <f>580+100</f>
        <v>680</v>
      </c>
      <c r="P42" s="141">
        <v>0</v>
      </c>
      <c r="Q42" s="145">
        <v>180</v>
      </c>
      <c r="R42" s="145">
        <v>180</v>
      </c>
      <c r="S42" s="145">
        <v>180</v>
      </c>
      <c r="T42" s="169">
        <f t="shared" si="6"/>
        <v>200</v>
      </c>
      <c r="U42" s="169">
        <f t="shared" si="7"/>
        <v>345</v>
      </c>
      <c r="V42" s="169">
        <f t="shared" si="8"/>
        <v>345</v>
      </c>
      <c r="W42" s="169">
        <f t="shared" si="9"/>
        <v>415</v>
      </c>
      <c r="X42" s="139">
        <v>0.11799999999999999</v>
      </c>
    </row>
    <row r="43" spans="1:24" x14ac:dyDescent="0.2">
      <c r="A43" s="141" t="s">
        <v>125</v>
      </c>
      <c r="B43" s="141" t="s">
        <v>134</v>
      </c>
      <c r="C43" s="148">
        <v>2</v>
      </c>
      <c r="D43" s="141">
        <f>650+50+68</f>
        <v>768</v>
      </c>
      <c r="E43" s="141"/>
      <c r="F43" s="141"/>
      <c r="G43" s="141"/>
      <c r="H43" s="141" t="s">
        <v>622</v>
      </c>
      <c r="I43" s="141">
        <v>5</v>
      </c>
      <c r="J43" s="141">
        <v>1150</v>
      </c>
      <c r="K43" s="128"/>
      <c r="M43" s="128" t="s">
        <v>666</v>
      </c>
      <c r="N43" s="128">
        <f t="shared" si="1"/>
        <v>41</v>
      </c>
      <c r="O43" s="145">
        <f>580+100</f>
        <v>680</v>
      </c>
      <c r="P43" s="141">
        <v>0</v>
      </c>
      <c r="Q43" s="145">
        <v>180</v>
      </c>
      <c r="R43" s="145">
        <v>180</v>
      </c>
      <c r="S43" s="145">
        <v>180</v>
      </c>
      <c r="T43" s="169">
        <f t="shared" si="6"/>
        <v>200</v>
      </c>
      <c r="U43" s="169">
        <f t="shared" si="7"/>
        <v>345</v>
      </c>
      <c r="V43" s="169">
        <f t="shared" si="8"/>
        <v>345</v>
      </c>
      <c r="W43" s="169">
        <f t="shared" si="9"/>
        <v>415</v>
      </c>
      <c r="X43" s="139">
        <v>0.11799999999999999</v>
      </c>
    </row>
    <row r="44" spans="1:24" x14ac:dyDescent="0.2">
      <c r="A44" s="141" t="s">
        <v>125</v>
      </c>
      <c r="B44" s="141" t="s">
        <v>135</v>
      </c>
      <c r="C44" s="148">
        <v>2</v>
      </c>
      <c r="D44" s="141">
        <f>650+50+68</f>
        <v>768</v>
      </c>
      <c r="E44" s="141"/>
      <c r="F44" s="141"/>
      <c r="G44" s="141"/>
      <c r="H44" s="141" t="s">
        <v>623</v>
      </c>
      <c r="I44" s="141">
        <v>5</v>
      </c>
      <c r="J44" s="141">
        <v>1150</v>
      </c>
      <c r="K44" s="128"/>
      <c r="M44" s="128" t="s">
        <v>667</v>
      </c>
      <c r="N44" s="128">
        <f t="shared" si="1"/>
        <v>42</v>
      </c>
      <c r="O44" s="145">
        <f>580+100</f>
        <v>680</v>
      </c>
      <c r="P44" s="141">
        <v>0</v>
      </c>
      <c r="Q44" s="145">
        <v>180</v>
      </c>
      <c r="R44" s="145">
        <v>180</v>
      </c>
      <c r="S44" s="145">
        <v>180</v>
      </c>
      <c r="T44" s="169">
        <f t="shared" si="6"/>
        <v>200</v>
      </c>
      <c r="U44" s="169">
        <f t="shared" si="7"/>
        <v>345</v>
      </c>
      <c r="V44" s="169">
        <f t="shared" si="8"/>
        <v>345</v>
      </c>
      <c r="W44" s="169">
        <f t="shared" si="9"/>
        <v>415</v>
      </c>
      <c r="X44" s="139">
        <v>0.11799999999999999</v>
      </c>
    </row>
    <row r="45" spans="1:24" x14ac:dyDescent="0.2">
      <c r="A45" s="141" t="s">
        <v>125</v>
      </c>
      <c r="B45" s="141" t="s">
        <v>136</v>
      </c>
      <c r="C45" s="148">
        <v>2</v>
      </c>
      <c r="D45" s="141">
        <f>650+50+68</f>
        <v>768</v>
      </c>
      <c r="E45" s="141"/>
      <c r="F45" s="141"/>
      <c r="G45" s="141"/>
      <c r="H45" s="141" t="s">
        <v>624</v>
      </c>
      <c r="I45" s="141">
        <v>3</v>
      </c>
      <c r="J45" s="141">
        <v>450</v>
      </c>
      <c r="K45" s="128"/>
      <c r="M45" s="141" t="s">
        <v>668</v>
      </c>
      <c r="N45" s="128">
        <f t="shared" si="1"/>
        <v>43</v>
      </c>
      <c r="O45" s="145">
        <v>500</v>
      </c>
      <c r="P45" s="141">
        <v>0</v>
      </c>
      <c r="Q45" s="145">
        <v>180</v>
      </c>
      <c r="R45" s="145">
        <v>180</v>
      </c>
      <c r="S45" s="145">
        <v>180</v>
      </c>
      <c r="T45" s="169">
        <f t="shared" si="6"/>
        <v>200</v>
      </c>
      <c r="U45" s="169">
        <f t="shared" si="7"/>
        <v>345</v>
      </c>
      <c r="V45" s="169">
        <f t="shared" si="8"/>
        <v>345</v>
      </c>
      <c r="W45" s="169">
        <f t="shared" si="9"/>
        <v>415</v>
      </c>
      <c r="X45" s="139">
        <v>0.04</v>
      </c>
    </row>
    <row r="46" spans="1:24" x14ac:dyDescent="0.2">
      <c r="A46" s="141" t="s">
        <v>125</v>
      </c>
      <c r="B46" s="141" t="s">
        <v>491</v>
      </c>
      <c r="C46" s="148">
        <v>1</v>
      </c>
      <c r="D46" s="141">
        <v>500</v>
      </c>
      <c r="E46" s="141"/>
      <c r="F46" s="141"/>
      <c r="G46" s="141"/>
      <c r="H46" s="141" t="s">
        <v>625</v>
      </c>
      <c r="I46" s="141">
        <v>3</v>
      </c>
      <c r="J46" s="141">
        <v>450</v>
      </c>
      <c r="K46" s="128"/>
      <c r="M46" s="141"/>
      <c r="N46" s="128">
        <f t="shared" si="1"/>
        <v>44</v>
      </c>
      <c r="O46" s="145">
        <f>600+200+240</f>
        <v>1040</v>
      </c>
      <c r="P46" s="141">
        <v>0</v>
      </c>
      <c r="Q46" s="145">
        <v>180</v>
      </c>
      <c r="R46" s="145">
        <v>180</v>
      </c>
      <c r="S46" s="145">
        <v>180</v>
      </c>
      <c r="T46" s="169">
        <f t="shared" si="6"/>
        <v>200</v>
      </c>
      <c r="U46" s="169">
        <f t="shared" si="7"/>
        <v>345</v>
      </c>
      <c r="V46" s="169">
        <f t="shared" si="8"/>
        <v>345</v>
      </c>
      <c r="W46" s="169">
        <f t="shared" si="9"/>
        <v>415</v>
      </c>
      <c r="X46" s="139">
        <v>0.1273</v>
      </c>
    </row>
    <row r="47" spans="1:24" x14ac:dyDescent="0.2">
      <c r="A47" s="141" t="s">
        <v>125</v>
      </c>
      <c r="B47" s="141" t="s">
        <v>132</v>
      </c>
      <c r="C47" s="148">
        <v>1</v>
      </c>
      <c r="D47" s="141">
        <v>500</v>
      </c>
      <c r="E47" s="141"/>
      <c r="F47" s="141"/>
      <c r="G47" s="141" t="s">
        <v>214</v>
      </c>
      <c r="H47" s="141" t="s">
        <v>626</v>
      </c>
      <c r="I47" s="148">
        <v>3</v>
      </c>
      <c r="J47" s="141">
        <v>450</v>
      </c>
      <c r="K47" s="128"/>
      <c r="M47" s="141" t="s">
        <v>669</v>
      </c>
      <c r="N47" s="128">
        <f t="shared" si="1"/>
        <v>45</v>
      </c>
      <c r="O47" s="145">
        <v>700</v>
      </c>
      <c r="P47" s="141">
        <v>0</v>
      </c>
      <c r="Q47" s="145">
        <v>180</v>
      </c>
      <c r="R47" s="145">
        <v>180</v>
      </c>
      <c r="S47" s="145">
        <v>180</v>
      </c>
      <c r="T47" s="169">
        <f t="shared" si="6"/>
        <v>200</v>
      </c>
      <c r="U47" s="169">
        <f t="shared" si="7"/>
        <v>345</v>
      </c>
      <c r="V47" s="169">
        <f t="shared" si="8"/>
        <v>345</v>
      </c>
      <c r="W47" s="169">
        <f t="shared" si="9"/>
        <v>415</v>
      </c>
      <c r="X47" s="139">
        <v>0.16</v>
      </c>
    </row>
    <row r="48" spans="1:24" x14ac:dyDescent="0.2">
      <c r="A48" s="141" t="s">
        <v>214</v>
      </c>
      <c r="B48" s="141" t="s">
        <v>217</v>
      </c>
      <c r="C48" s="148">
        <v>1</v>
      </c>
      <c r="D48" s="141">
        <v>650</v>
      </c>
      <c r="E48" s="141"/>
      <c r="F48" s="141"/>
      <c r="G48" s="141"/>
      <c r="H48" s="141" t="s">
        <v>226</v>
      </c>
      <c r="I48" s="141">
        <v>4</v>
      </c>
      <c r="J48" s="141">
        <v>750</v>
      </c>
      <c r="K48" s="128"/>
      <c r="M48" s="141" t="s">
        <v>670</v>
      </c>
      <c r="N48" s="128">
        <f t="shared" si="1"/>
        <v>46</v>
      </c>
      <c r="O48" s="145">
        <f>780+320</f>
        <v>1100</v>
      </c>
      <c r="P48" s="141">
        <v>0</v>
      </c>
      <c r="Q48" s="145">
        <v>150</v>
      </c>
      <c r="R48" s="145">
        <v>200</v>
      </c>
      <c r="S48" s="145">
        <v>200</v>
      </c>
      <c r="T48" s="169">
        <f>195-25</f>
        <v>170</v>
      </c>
      <c r="U48" s="169">
        <f>Q48+195-25-20</f>
        <v>300</v>
      </c>
      <c r="V48" s="169">
        <f>R48+195-25-20</f>
        <v>350</v>
      </c>
      <c r="W48" s="169">
        <f>S48+195-20</f>
        <v>375</v>
      </c>
      <c r="X48" s="139">
        <v>0.16</v>
      </c>
    </row>
    <row r="49" spans="1:24" x14ac:dyDescent="0.2">
      <c r="A49" s="141" t="s">
        <v>214</v>
      </c>
      <c r="B49" s="141" t="s">
        <v>218</v>
      </c>
      <c r="C49" s="148">
        <v>1</v>
      </c>
      <c r="D49" s="141">
        <v>650</v>
      </c>
      <c r="E49" s="141"/>
      <c r="F49" s="141"/>
      <c r="G49" s="141"/>
      <c r="H49" s="141" t="s">
        <v>253</v>
      </c>
      <c r="I49" s="141">
        <v>4</v>
      </c>
      <c r="J49" s="141">
        <v>750</v>
      </c>
      <c r="K49" s="128"/>
      <c r="M49" s="141" t="s">
        <v>671</v>
      </c>
      <c r="N49" s="128">
        <f t="shared" si="1"/>
        <v>47</v>
      </c>
      <c r="O49" s="145">
        <f>780+320</f>
        <v>1100</v>
      </c>
      <c r="P49" s="141">
        <v>0</v>
      </c>
      <c r="Q49" s="145">
        <v>150</v>
      </c>
      <c r="R49" s="145">
        <v>200</v>
      </c>
      <c r="S49" s="145">
        <v>200</v>
      </c>
      <c r="T49" s="169">
        <f>195-25</f>
        <v>170</v>
      </c>
      <c r="U49" s="169">
        <f>Q49+195-25-20</f>
        <v>300</v>
      </c>
      <c r="V49" s="169">
        <f>R49+195-25-20</f>
        <v>350</v>
      </c>
      <c r="W49" s="169">
        <f>S49+195-20</f>
        <v>375</v>
      </c>
      <c r="X49" s="139">
        <v>0.16</v>
      </c>
    </row>
    <row r="50" spans="1:24" x14ac:dyDescent="0.2">
      <c r="A50" s="141" t="s">
        <v>125</v>
      </c>
      <c r="B50" s="141" t="s">
        <v>492</v>
      </c>
      <c r="C50" s="148">
        <v>1</v>
      </c>
      <c r="D50" s="141">
        <v>650</v>
      </c>
      <c r="E50" s="141">
        <v>300</v>
      </c>
      <c r="F50" s="141"/>
      <c r="G50" s="141" t="s">
        <v>279</v>
      </c>
      <c r="H50" s="141" t="s">
        <v>284</v>
      </c>
      <c r="I50" s="141">
        <v>3</v>
      </c>
      <c r="J50" s="141">
        <v>450</v>
      </c>
      <c r="K50" s="128"/>
      <c r="M50" s="128"/>
      <c r="N50" s="128"/>
      <c r="O50" s="145"/>
      <c r="P50" s="141"/>
      <c r="Q50" s="141"/>
      <c r="R50" s="141"/>
      <c r="S50" s="141"/>
      <c r="T50" s="141"/>
      <c r="U50" s="141"/>
      <c r="V50" s="141"/>
      <c r="W50" s="141"/>
      <c r="X50" s="139"/>
    </row>
    <row r="51" spans="1:24" x14ac:dyDescent="0.2">
      <c r="A51" s="141" t="s">
        <v>214</v>
      </c>
      <c r="B51" s="141" t="s">
        <v>219</v>
      </c>
      <c r="C51" s="148">
        <v>1</v>
      </c>
      <c r="D51" s="141">
        <v>650</v>
      </c>
      <c r="E51" s="141"/>
      <c r="F51" s="141"/>
      <c r="G51" s="141" t="s">
        <v>279</v>
      </c>
      <c r="H51" s="141" t="s">
        <v>285</v>
      </c>
      <c r="I51" s="141">
        <v>3</v>
      </c>
      <c r="J51" s="141">
        <v>450</v>
      </c>
      <c r="K51" s="128"/>
      <c r="M51" s="128"/>
      <c r="N51" s="128"/>
      <c r="O51" s="145"/>
      <c r="P51" s="141"/>
      <c r="Q51" s="141"/>
      <c r="R51" s="141"/>
      <c r="S51" s="141"/>
      <c r="T51" s="141"/>
      <c r="U51" s="141"/>
      <c r="V51" s="141"/>
      <c r="W51" s="141"/>
      <c r="X51" s="139"/>
    </row>
    <row r="52" spans="1:24" x14ac:dyDescent="0.2">
      <c r="A52" s="141">
        <v>19</v>
      </c>
      <c r="B52" s="141" t="s">
        <v>493</v>
      </c>
      <c r="C52" s="148">
        <v>1</v>
      </c>
      <c r="D52" s="141">
        <v>650</v>
      </c>
      <c r="E52" s="141"/>
      <c r="F52" s="141"/>
      <c r="G52" s="141" t="s">
        <v>279</v>
      </c>
      <c r="H52" s="141" t="s">
        <v>286</v>
      </c>
      <c r="I52" s="148">
        <v>3</v>
      </c>
      <c r="J52" s="141">
        <v>450</v>
      </c>
      <c r="K52" s="128"/>
      <c r="M52" s="128"/>
      <c r="N52" s="128"/>
      <c r="O52" s="145"/>
      <c r="P52" s="141"/>
      <c r="Q52" s="141"/>
      <c r="R52" s="141"/>
      <c r="S52" s="141"/>
      <c r="T52" s="141"/>
      <c r="U52" s="141"/>
      <c r="V52" s="141"/>
      <c r="W52" s="141"/>
      <c r="X52" s="139"/>
    </row>
    <row r="53" spans="1:24" x14ac:dyDescent="0.2">
      <c r="A53" s="141"/>
      <c r="B53" s="141" t="s">
        <v>93</v>
      </c>
      <c r="C53" s="148">
        <v>1</v>
      </c>
      <c r="D53" s="141">
        <v>650</v>
      </c>
      <c r="E53" s="141"/>
      <c r="F53" s="141"/>
      <c r="G53" s="141" t="s">
        <v>89</v>
      </c>
      <c r="H53" s="141" t="s">
        <v>227</v>
      </c>
      <c r="I53" s="141">
        <v>1</v>
      </c>
      <c r="J53" s="141">
        <v>150</v>
      </c>
      <c r="K53" s="128"/>
    </row>
    <row r="54" spans="1:24" x14ac:dyDescent="0.2">
      <c r="A54" s="141" t="s">
        <v>125</v>
      </c>
      <c r="B54" s="141" t="s">
        <v>126</v>
      </c>
      <c r="C54" s="148">
        <v>1</v>
      </c>
      <c r="D54" s="141">
        <v>650</v>
      </c>
      <c r="E54" s="141">
        <v>300</v>
      </c>
      <c r="F54" s="141"/>
      <c r="G54" s="141" t="s">
        <v>89</v>
      </c>
      <c r="H54" s="141" t="s">
        <v>58</v>
      </c>
      <c r="I54" s="141">
        <v>1</v>
      </c>
      <c r="J54" s="141">
        <v>150</v>
      </c>
      <c r="K54" s="128"/>
    </row>
    <row r="55" spans="1:24" x14ac:dyDescent="0.2">
      <c r="A55" s="141" t="s">
        <v>125</v>
      </c>
      <c r="B55" s="141" t="s">
        <v>127</v>
      </c>
      <c r="C55" s="148">
        <v>1</v>
      </c>
      <c r="D55" s="141">
        <v>650</v>
      </c>
      <c r="E55" s="141">
        <v>300</v>
      </c>
      <c r="F55" s="141"/>
      <c r="G55" s="141" t="s">
        <v>89</v>
      </c>
      <c r="H55" s="141" t="s">
        <v>57</v>
      </c>
      <c r="I55" s="141">
        <v>1</v>
      </c>
      <c r="J55" s="141">
        <v>150</v>
      </c>
      <c r="K55" s="128"/>
    </row>
    <row r="56" spans="1:24" x14ac:dyDescent="0.2">
      <c r="A56" s="141">
        <v>19</v>
      </c>
      <c r="B56" s="141" t="s">
        <v>94</v>
      </c>
      <c r="C56" s="148">
        <v>1</v>
      </c>
      <c r="D56" s="141">
        <v>650</v>
      </c>
      <c r="E56" s="141"/>
      <c r="F56" s="141"/>
      <c r="G56" s="141" t="s">
        <v>89</v>
      </c>
      <c r="H56" s="141" t="s">
        <v>620</v>
      </c>
      <c r="I56" s="141">
        <v>1</v>
      </c>
      <c r="J56" s="141">
        <v>150</v>
      </c>
      <c r="K56" s="128"/>
    </row>
    <row r="57" spans="1:24" x14ac:dyDescent="0.2">
      <c r="A57" s="141">
        <v>19</v>
      </c>
      <c r="B57" s="141" t="s">
        <v>95</v>
      </c>
      <c r="C57" s="148">
        <v>1</v>
      </c>
      <c r="D57" s="141">
        <v>650</v>
      </c>
      <c r="E57" s="141"/>
      <c r="F57" s="141"/>
      <c r="G57" s="141" t="s">
        <v>89</v>
      </c>
      <c r="H57" s="141" t="s">
        <v>621</v>
      </c>
      <c r="I57" s="141">
        <v>1</v>
      </c>
      <c r="J57" s="141">
        <v>150</v>
      </c>
      <c r="K57" s="128"/>
      <c r="M57" s="128"/>
      <c r="N57" s="128"/>
      <c r="O57" s="128"/>
      <c r="P57" s="128"/>
    </row>
    <row r="58" spans="1:24" x14ac:dyDescent="0.2">
      <c r="A58" s="141"/>
      <c r="B58" s="141" t="s">
        <v>96</v>
      </c>
      <c r="C58" s="148">
        <v>1</v>
      </c>
      <c r="D58" s="141">
        <v>650</v>
      </c>
      <c r="E58" s="141">
        <v>250</v>
      </c>
      <c r="F58" s="141"/>
      <c r="G58" s="141" t="s">
        <v>89</v>
      </c>
      <c r="H58" s="141" t="s">
        <v>627</v>
      </c>
      <c r="I58" s="141">
        <v>1</v>
      </c>
      <c r="J58" s="141">
        <v>150</v>
      </c>
      <c r="K58" s="128"/>
    </row>
    <row r="59" spans="1:24" x14ac:dyDescent="0.2">
      <c r="A59" s="141" t="s">
        <v>125</v>
      </c>
      <c r="B59" s="141" t="s">
        <v>124</v>
      </c>
      <c r="C59" s="148">
        <v>1</v>
      </c>
      <c r="D59" s="141">
        <v>650</v>
      </c>
      <c r="E59" s="141"/>
      <c r="F59" s="141"/>
      <c r="G59" s="141" t="s">
        <v>89</v>
      </c>
      <c r="H59" s="141" t="s">
        <v>228</v>
      </c>
      <c r="I59" s="141">
        <v>1</v>
      </c>
      <c r="J59" s="141">
        <v>150</v>
      </c>
      <c r="K59" s="128"/>
    </row>
    <row r="60" spans="1:24" x14ac:dyDescent="0.2">
      <c r="A60" s="141" t="s">
        <v>125</v>
      </c>
      <c r="B60" s="141" t="s">
        <v>494</v>
      </c>
      <c r="C60" s="141">
        <v>1</v>
      </c>
      <c r="D60" s="141">
        <v>650</v>
      </c>
      <c r="E60" s="141">
        <v>300</v>
      </c>
      <c r="F60" s="141"/>
      <c r="G60" s="141" t="s">
        <v>89</v>
      </c>
      <c r="H60" s="141" t="s">
        <v>60</v>
      </c>
      <c r="I60" s="141">
        <v>1</v>
      </c>
      <c r="J60" s="141">
        <v>150</v>
      </c>
      <c r="K60" s="128"/>
    </row>
    <row r="61" spans="1:24" x14ac:dyDescent="0.2">
      <c r="A61" s="141"/>
      <c r="B61" s="141" t="s">
        <v>97</v>
      </c>
      <c r="C61" s="148">
        <v>1</v>
      </c>
      <c r="D61" s="141">
        <v>650</v>
      </c>
      <c r="E61" s="141"/>
      <c r="F61" s="141"/>
      <c r="G61" s="141" t="s">
        <v>89</v>
      </c>
      <c r="H61" s="141" t="s">
        <v>59</v>
      </c>
      <c r="I61" s="141">
        <v>1</v>
      </c>
      <c r="J61" s="141">
        <v>150</v>
      </c>
      <c r="K61" s="128"/>
    </row>
    <row r="62" spans="1:24" x14ac:dyDescent="0.2">
      <c r="A62" s="141"/>
      <c r="B62" s="141" t="s">
        <v>495</v>
      </c>
      <c r="C62" s="148">
        <v>1</v>
      </c>
      <c r="D62" s="141">
        <v>650</v>
      </c>
      <c r="E62" s="141"/>
      <c r="F62" s="141"/>
      <c r="G62" s="141" t="s">
        <v>89</v>
      </c>
      <c r="H62" s="141" t="s">
        <v>587</v>
      </c>
      <c r="I62" s="141">
        <v>1</v>
      </c>
      <c r="J62" s="141">
        <v>150</v>
      </c>
      <c r="K62" s="128"/>
    </row>
    <row r="63" spans="1:24" x14ac:dyDescent="0.2">
      <c r="A63" s="141"/>
      <c r="B63" s="141" t="s">
        <v>98</v>
      </c>
      <c r="C63" s="148">
        <v>1</v>
      </c>
      <c r="D63" s="141">
        <v>650</v>
      </c>
      <c r="E63" s="141">
        <v>250</v>
      </c>
      <c r="F63" s="141"/>
      <c r="G63" s="141" t="s">
        <v>89</v>
      </c>
      <c r="H63" s="141" t="s">
        <v>588</v>
      </c>
      <c r="I63" s="141">
        <v>1</v>
      </c>
      <c r="J63" s="141">
        <v>150</v>
      </c>
      <c r="K63" s="128"/>
    </row>
    <row r="64" spans="1:24" x14ac:dyDescent="0.2">
      <c r="A64" s="141"/>
      <c r="B64" s="141" t="s">
        <v>496</v>
      </c>
      <c r="C64" s="141">
        <v>5</v>
      </c>
      <c r="D64" s="141">
        <v>1200</v>
      </c>
      <c r="E64" s="141"/>
      <c r="F64" s="141"/>
      <c r="G64" s="141" t="s">
        <v>89</v>
      </c>
      <c r="H64" s="141" t="s">
        <v>589</v>
      </c>
      <c r="I64" s="141">
        <v>1</v>
      </c>
      <c r="J64" s="141">
        <v>150</v>
      </c>
      <c r="K64" s="128"/>
    </row>
    <row r="65" spans="1:25" x14ac:dyDescent="0.2">
      <c r="A65" s="141" t="s">
        <v>214</v>
      </c>
      <c r="B65" s="141" t="s">
        <v>497</v>
      </c>
      <c r="C65" s="148">
        <v>3</v>
      </c>
      <c r="D65" s="141">
        <v>900</v>
      </c>
      <c r="E65" s="141"/>
      <c r="F65" s="141"/>
      <c r="G65" s="141" t="s">
        <v>89</v>
      </c>
      <c r="H65" s="141" t="s">
        <v>590</v>
      </c>
      <c r="I65" s="141">
        <v>1</v>
      </c>
      <c r="J65" s="141">
        <v>150</v>
      </c>
      <c r="K65" s="128"/>
      <c r="Y65" s="119"/>
    </row>
    <row r="66" spans="1:25" x14ac:dyDescent="0.2">
      <c r="A66" s="141">
        <v>19</v>
      </c>
      <c r="B66" s="141" t="s">
        <v>498</v>
      </c>
      <c r="C66" s="141">
        <v>4</v>
      </c>
      <c r="D66" s="141">
        <v>1000</v>
      </c>
      <c r="E66" s="141"/>
      <c r="F66" s="141"/>
      <c r="G66" s="141" t="s">
        <v>89</v>
      </c>
      <c r="H66" s="141" t="s">
        <v>591</v>
      </c>
      <c r="I66" s="141">
        <v>1</v>
      </c>
      <c r="J66" s="141">
        <v>150</v>
      </c>
      <c r="K66" s="128"/>
      <c r="Y66" s="119"/>
    </row>
    <row r="67" spans="1:25" x14ac:dyDescent="0.2">
      <c r="A67" s="141" t="s">
        <v>279</v>
      </c>
      <c r="B67" s="141" t="s">
        <v>281</v>
      </c>
      <c r="C67" s="141">
        <v>3</v>
      </c>
      <c r="D67" s="141">
        <v>900</v>
      </c>
      <c r="E67" s="141"/>
      <c r="F67" s="141"/>
      <c r="G67" s="141" t="s">
        <v>89</v>
      </c>
      <c r="H67" s="141" t="s">
        <v>592</v>
      </c>
      <c r="I67" s="141">
        <v>1</v>
      </c>
      <c r="J67" s="141">
        <v>150</v>
      </c>
      <c r="K67" s="128"/>
    </row>
    <row r="68" spans="1:25" x14ac:dyDescent="0.2">
      <c r="A68" s="141" t="s">
        <v>89</v>
      </c>
      <c r="B68" s="141" t="s">
        <v>84</v>
      </c>
      <c r="C68" s="141">
        <v>1</v>
      </c>
      <c r="D68" s="141">
        <v>500</v>
      </c>
      <c r="E68" s="141"/>
      <c r="F68" s="141"/>
      <c r="G68" s="141"/>
      <c r="H68" s="141" t="s">
        <v>248</v>
      </c>
      <c r="I68" s="141">
        <v>2</v>
      </c>
      <c r="J68" s="141">
        <v>150</v>
      </c>
      <c r="K68" s="128"/>
    </row>
    <row r="69" spans="1:25" x14ac:dyDescent="0.2">
      <c r="A69" s="141" t="s">
        <v>89</v>
      </c>
      <c r="B69" s="141" t="s">
        <v>499</v>
      </c>
      <c r="C69" s="141">
        <v>1</v>
      </c>
      <c r="D69" s="141">
        <v>500</v>
      </c>
      <c r="E69" s="141"/>
      <c r="F69" s="141"/>
      <c r="G69" s="141"/>
      <c r="H69" s="141" t="s">
        <v>250</v>
      </c>
      <c r="I69" s="141">
        <v>2</v>
      </c>
      <c r="J69" s="141">
        <v>150</v>
      </c>
      <c r="K69" s="128"/>
    </row>
    <row r="70" spans="1:25" x14ac:dyDescent="0.2">
      <c r="A70" s="141" t="s">
        <v>89</v>
      </c>
      <c r="B70" s="141" t="s">
        <v>85</v>
      </c>
      <c r="C70" s="141">
        <v>1</v>
      </c>
      <c r="D70" s="141">
        <v>500</v>
      </c>
      <c r="E70" s="141"/>
      <c r="F70" s="141"/>
      <c r="G70" s="141" t="s">
        <v>89</v>
      </c>
      <c r="H70" s="141" t="s">
        <v>628</v>
      </c>
      <c r="I70" s="141">
        <v>1</v>
      </c>
      <c r="J70" s="141">
        <v>150</v>
      </c>
      <c r="K70" s="128"/>
    </row>
    <row r="71" spans="1:25" x14ac:dyDescent="0.2">
      <c r="A71" s="141" t="s">
        <v>89</v>
      </c>
      <c r="B71" s="141" t="s">
        <v>500</v>
      </c>
      <c r="C71" s="141">
        <v>1</v>
      </c>
      <c r="D71" s="141">
        <v>500</v>
      </c>
      <c r="E71" s="141"/>
      <c r="F71" s="141"/>
      <c r="G71" s="141" t="s">
        <v>89</v>
      </c>
      <c r="H71" s="141" t="s">
        <v>629</v>
      </c>
      <c r="I71" s="141">
        <v>1</v>
      </c>
      <c r="J71" s="141">
        <v>150</v>
      </c>
      <c r="K71" s="128"/>
    </row>
    <row r="72" spans="1:25" x14ac:dyDescent="0.2">
      <c r="A72" s="141" t="s">
        <v>89</v>
      </c>
      <c r="B72" s="141" t="s">
        <v>593</v>
      </c>
      <c r="C72" s="141">
        <v>1</v>
      </c>
      <c r="D72" s="141">
        <v>500</v>
      </c>
      <c r="E72" s="141"/>
      <c r="F72" s="141"/>
      <c r="G72" s="141" t="s">
        <v>89</v>
      </c>
      <c r="H72" s="141" t="s">
        <v>630</v>
      </c>
      <c r="I72" s="141">
        <v>1</v>
      </c>
      <c r="J72" s="141">
        <v>150</v>
      </c>
      <c r="K72" s="128"/>
    </row>
    <row r="73" spans="1:25" x14ac:dyDescent="0.2">
      <c r="A73" s="141"/>
      <c r="B73" s="141" t="s">
        <v>21</v>
      </c>
      <c r="C73" s="141">
        <v>2</v>
      </c>
      <c r="D73" s="141">
        <v>800</v>
      </c>
      <c r="E73" s="141"/>
      <c r="F73" s="141"/>
      <c r="G73" s="141" t="s">
        <v>89</v>
      </c>
      <c r="H73" s="141" t="s">
        <v>631</v>
      </c>
      <c r="I73" s="141">
        <v>1</v>
      </c>
      <c r="J73" s="141">
        <v>150</v>
      </c>
      <c r="K73" s="128"/>
    </row>
    <row r="74" spans="1:25" x14ac:dyDescent="0.2">
      <c r="A74" s="141" t="s">
        <v>89</v>
      </c>
      <c r="B74" s="141" t="s">
        <v>524</v>
      </c>
      <c r="C74" s="141">
        <v>1</v>
      </c>
      <c r="D74" s="141">
        <v>500</v>
      </c>
      <c r="E74" s="141"/>
      <c r="F74" s="141"/>
      <c r="G74" s="141" t="s">
        <v>89</v>
      </c>
      <c r="H74" s="141" t="s">
        <v>632</v>
      </c>
      <c r="I74" s="141">
        <v>1</v>
      </c>
      <c r="J74" s="141">
        <v>150</v>
      </c>
      <c r="K74" s="128"/>
    </row>
    <row r="75" spans="1:25" x14ac:dyDescent="0.2">
      <c r="A75" s="141" t="s">
        <v>89</v>
      </c>
      <c r="B75" s="141" t="s">
        <v>508</v>
      </c>
      <c r="C75" s="141">
        <v>1</v>
      </c>
      <c r="D75" s="141">
        <v>500</v>
      </c>
      <c r="E75" s="141"/>
      <c r="F75" s="141"/>
      <c r="G75" s="141" t="s">
        <v>89</v>
      </c>
      <c r="H75" s="141" t="s">
        <v>633</v>
      </c>
      <c r="I75" s="141">
        <v>1</v>
      </c>
      <c r="J75" s="141">
        <v>150</v>
      </c>
      <c r="K75" s="128"/>
    </row>
    <row r="76" spans="1:25" x14ac:dyDescent="0.2">
      <c r="A76" s="141">
        <v>19</v>
      </c>
      <c r="B76" s="141" t="s">
        <v>142</v>
      </c>
      <c r="C76" s="141">
        <v>2</v>
      </c>
      <c r="D76" s="141">
        <v>800</v>
      </c>
      <c r="E76" s="141"/>
      <c r="F76" s="141"/>
      <c r="G76" s="141"/>
      <c r="H76" s="141" t="s">
        <v>634</v>
      </c>
      <c r="I76" s="141">
        <v>3</v>
      </c>
      <c r="J76" s="141">
        <v>450</v>
      </c>
      <c r="K76" s="128"/>
    </row>
    <row r="77" spans="1:25" x14ac:dyDescent="0.2">
      <c r="A77" s="141">
        <v>19</v>
      </c>
      <c r="B77" s="141" t="s">
        <v>143</v>
      </c>
      <c r="C77" s="141">
        <v>2</v>
      </c>
      <c r="D77" s="141">
        <v>800</v>
      </c>
      <c r="E77" s="141"/>
      <c r="F77" s="141"/>
      <c r="G77" s="141"/>
      <c r="H77" s="141" t="s">
        <v>635</v>
      </c>
      <c r="I77" s="141">
        <v>3</v>
      </c>
      <c r="J77" s="141">
        <v>450</v>
      </c>
      <c r="K77" s="128"/>
    </row>
    <row r="78" spans="1:25" x14ac:dyDescent="0.2">
      <c r="A78" s="141" t="s">
        <v>89</v>
      </c>
      <c r="B78" s="141" t="s">
        <v>535</v>
      </c>
      <c r="C78" s="141">
        <v>1</v>
      </c>
      <c r="D78" s="141">
        <v>500</v>
      </c>
      <c r="E78" s="141"/>
      <c r="F78" s="141"/>
      <c r="G78" s="141"/>
      <c r="H78" s="141" t="s">
        <v>636</v>
      </c>
      <c r="I78" s="141">
        <v>3</v>
      </c>
      <c r="J78" s="141">
        <v>450</v>
      </c>
      <c r="K78" s="128"/>
    </row>
    <row r="79" spans="1:25" x14ac:dyDescent="0.2">
      <c r="A79" s="141" t="s">
        <v>89</v>
      </c>
      <c r="B79" s="141" t="s">
        <v>536</v>
      </c>
      <c r="C79" s="141">
        <v>1</v>
      </c>
      <c r="D79" s="141">
        <v>500</v>
      </c>
      <c r="E79" s="141"/>
      <c r="F79" s="141"/>
      <c r="G79" s="141"/>
      <c r="H79" s="141" t="s">
        <v>637</v>
      </c>
      <c r="I79" s="141">
        <v>2</v>
      </c>
      <c r="J79" s="141">
        <v>150</v>
      </c>
      <c r="K79" s="128"/>
    </row>
    <row r="80" spans="1:25" x14ac:dyDescent="0.2">
      <c r="A80" s="141"/>
      <c r="B80" s="141" t="s">
        <v>537</v>
      </c>
      <c r="C80" s="141">
        <v>3</v>
      </c>
      <c r="D80" s="141">
        <v>900</v>
      </c>
      <c r="E80" s="141"/>
      <c r="F80" s="141"/>
      <c r="G80" s="141"/>
      <c r="H80" s="141" t="s">
        <v>638</v>
      </c>
      <c r="I80" s="141">
        <v>2</v>
      </c>
      <c r="J80" s="141">
        <v>150</v>
      </c>
      <c r="K80" s="128"/>
    </row>
    <row r="81" spans="1:25" x14ac:dyDescent="0.2">
      <c r="A81" s="141" t="s">
        <v>125</v>
      </c>
      <c r="B81" s="141" t="s">
        <v>128</v>
      </c>
      <c r="C81" s="148">
        <v>1</v>
      </c>
      <c r="D81" s="141">
        <v>600</v>
      </c>
      <c r="E81" s="141"/>
      <c r="F81" s="141"/>
      <c r="G81" s="141" t="s">
        <v>265</v>
      </c>
      <c r="H81" s="141" t="s">
        <v>639</v>
      </c>
      <c r="I81" s="141">
        <v>5</v>
      </c>
      <c r="J81" s="141">
        <v>1150</v>
      </c>
      <c r="K81" s="128"/>
    </row>
    <row r="82" spans="1:25" x14ac:dyDescent="0.2">
      <c r="A82" s="141" t="s">
        <v>125</v>
      </c>
      <c r="B82" s="141" t="s">
        <v>129</v>
      </c>
      <c r="C82" s="148">
        <v>1</v>
      </c>
      <c r="D82" s="141">
        <v>600</v>
      </c>
      <c r="E82" s="141"/>
      <c r="F82" s="141"/>
      <c r="G82" s="141" t="s">
        <v>89</v>
      </c>
      <c r="H82" s="141" t="s">
        <v>573</v>
      </c>
      <c r="I82" s="141">
        <v>1</v>
      </c>
      <c r="J82" s="141">
        <v>150</v>
      </c>
      <c r="K82" s="128"/>
    </row>
    <row r="83" spans="1:25" x14ac:dyDescent="0.2">
      <c r="A83" s="141" t="s">
        <v>89</v>
      </c>
      <c r="B83" s="141" t="s">
        <v>538</v>
      </c>
      <c r="C83" s="141">
        <v>1</v>
      </c>
      <c r="D83" s="141">
        <v>500</v>
      </c>
      <c r="E83" s="141"/>
      <c r="F83" s="141"/>
      <c r="G83" s="141" t="s">
        <v>89</v>
      </c>
      <c r="H83" s="141" t="s">
        <v>574</v>
      </c>
      <c r="I83" s="141">
        <v>1</v>
      </c>
      <c r="J83" s="141">
        <v>150</v>
      </c>
      <c r="K83" s="128"/>
    </row>
    <row r="84" spans="1:25" x14ac:dyDescent="0.2">
      <c r="A84" s="141" t="s">
        <v>214</v>
      </c>
      <c r="B84" s="141" t="s">
        <v>686</v>
      </c>
      <c r="C84" s="148">
        <v>5</v>
      </c>
      <c r="D84" s="141">
        <v>1200</v>
      </c>
      <c r="E84" s="141"/>
      <c r="F84" s="141"/>
      <c r="G84" s="141" t="s">
        <v>89</v>
      </c>
      <c r="H84" s="141" t="s">
        <v>575</v>
      </c>
      <c r="I84" s="141">
        <v>1</v>
      </c>
      <c r="J84" s="141">
        <v>150</v>
      </c>
      <c r="K84" s="128"/>
    </row>
    <row r="85" spans="1:25" x14ac:dyDescent="0.2">
      <c r="A85" s="141">
        <v>19</v>
      </c>
      <c r="B85" s="141" t="s">
        <v>539</v>
      </c>
      <c r="C85" s="141">
        <v>2</v>
      </c>
      <c r="D85" s="141">
        <v>800</v>
      </c>
      <c r="E85" s="141"/>
      <c r="F85" s="141"/>
      <c r="G85" s="141"/>
      <c r="H85" s="141" t="s">
        <v>229</v>
      </c>
      <c r="I85" s="141">
        <v>3</v>
      </c>
      <c r="J85" s="141">
        <v>450</v>
      </c>
      <c r="K85" s="128"/>
    </row>
    <row r="86" spans="1:25" x14ac:dyDescent="0.2">
      <c r="A86" s="141" t="s">
        <v>265</v>
      </c>
      <c r="B86" s="141" t="s">
        <v>540</v>
      </c>
      <c r="C86" s="141">
        <v>5</v>
      </c>
      <c r="D86" s="141">
        <v>1200</v>
      </c>
      <c r="E86" s="141"/>
      <c r="F86" s="141"/>
      <c r="G86" s="141"/>
      <c r="H86" s="141" t="s">
        <v>62</v>
      </c>
      <c r="I86" s="141">
        <v>3</v>
      </c>
      <c r="J86" s="141">
        <v>450</v>
      </c>
      <c r="K86" s="128"/>
    </row>
    <row r="87" spans="1:25" s="119" customFormat="1" x14ac:dyDescent="0.2">
      <c r="A87" s="141" t="s">
        <v>279</v>
      </c>
      <c r="B87" s="141" t="s">
        <v>541</v>
      </c>
      <c r="C87" s="141">
        <v>5</v>
      </c>
      <c r="D87" s="141">
        <v>1200</v>
      </c>
      <c r="E87" s="141"/>
      <c r="F87" s="141"/>
      <c r="G87" s="141"/>
      <c r="H87" s="141" t="s">
        <v>61</v>
      </c>
      <c r="I87" s="141">
        <v>3</v>
      </c>
      <c r="J87" s="141">
        <v>450</v>
      </c>
      <c r="K87" s="128"/>
      <c r="L87"/>
      <c r="M87" s="108"/>
      <c r="N87"/>
      <c r="O87" s="108"/>
      <c r="P87"/>
      <c r="Q87"/>
      <c r="R87"/>
      <c r="S87"/>
      <c r="T87"/>
      <c r="U87"/>
      <c r="V87"/>
      <c r="W87"/>
      <c r="X87"/>
      <c r="Y87"/>
    </row>
    <row r="88" spans="1:25" s="119" customFormat="1" x14ac:dyDescent="0.2">
      <c r="A88" s="141" t="s">
        <v>89</v>
      </c>
      <c r="B88" s="141" t="s">
        <v>542</v>
      </c>
      <c r="C88" s="141">
        <v>1</v>
      </c>
      <c r="D88" s="141">
        <v>500</v>
      </c>
      <c r="E88" s="141"/>
      <c r="F88" s="141"/>
      <c r="G88" s="141" t="s">
        <v>89</v>
      </c>
      <c r="H88" s="141" t="s">
        <v>640</v>
      </c>
      <c r="I88" s="141">
        <v>1</v>
      </c>
      <c r="J88" s="141">
        <v>150</v>
      </c>
      <c r="K88" s="128"/>
      <c r="L88"/>
      <c r="M88" s="108"/>
      <c r="N88"/>
      <c r="O88" s="108"/>
      <c r="P88"/>
      <c r="Q88"/>
      <c r="R88"/>
      <c r="S88"/>
      <c r="T88"/>
      <c r="U88"/>
      <c r="V88"/>
      <c r="W88"/>
      <c r="X88"/>
      <c r="Y88"/>
    </row>
    <row r="89" spans="1:25" x14ac:dyDescent="0.2">
      <c r="A89" s="141">
        <v>19</v>
      </c>
      <c r="B89" s="141"/>
      <c r="C89" s="141">
        <v>5</v>
      </c>
      <c r="D89" s="141">
        <v>1200</v>
      </c>
      <c r="E89" s="141"/>
      <c r="F89" s="141"/>
      <c r="G89" s="141" t="s">
        <v>89</v>
      </c>
      <c r="H89" s="141" t="s">
        <v>641</v>
      </c>
      <c r="I89" s="141">
        <v>1</v>
      </c>
      <c r="J89" s="141">
        <v>150</v>
      </c>
      <c r="K89" s="128"/>
    </row>
    <row r="90" spans="1:25" x14ac:dyDescent="0.2">
      <c r="A90" s="141"/>
      <c r="B90" s="141" t="s">
        <v>25</v>
      </c>
      <c r="C90" s="141">
        <v>3</v>
      </c>
      <c r="D90" s="141">
        <v>900</v>
      </c>
      <c r="E90" s="141"/>
      <c r="F90" s="141"/>
      <c r="G90" s="141" t="s">
        <v>89</v>
      </c>
      <c r="H90" s="141" t="s">
        <v>642</v>
      </c>
      <c r="I90" s="141">
        <v>1</v>
      </c>
      <c r="J90" s="141">
        <v>150</v>
      </c>
      <c r="K90" s="128"/>
      <c r="L90" s="119"/>
    </row>
    <row r="91" spans="1:25" x14ac:dyDescent="0.2">
      <c r="A91" s="141" t="s">
        <v>89</v>
      </c>
      <c r="B91" s="141" t="s">
        <v>543</v>
      </c>
      <c r="C91" s="141">
        <v>1</v>
      </c>
      <c r="D91" s="141">
        <v>500</v>
      </c>
      <c r="E91" s="141"/>
      <c r="F91" s="141"/>
      <c r="G91" s="141" t="s">
        <v>89</v>
      </c>
      <c r="H91" s="141" t="s">
        <v>594</v>
      </c>
      <c r="I91" s="141">
        <v>1</v>
      </c>
      <c r="J91" s="141">
        <v>150</v>
      </c>
      <c r="K91" s="128"/>
      <c r="L91" s="119"/>
    </row>
    <row r="92" spans="1:25" x14ac:dyDescent="0.2">
      <c r="A92" s="141" t="s">
        <v>89</v>
      </c>
      <c r="B92" s="141" t="s">
        <v>87</v>
      </c>
      <c r="C92" s="141">
        <v>1</v>
      </c>
      <c r="D92" s="141">
        <v>500</v>
      </c>
      <c r="E92" s="141"/>
      <c r="F92" s="141"/>
      <c r="G92" s="141" t="s">
        <v>89</v>
      </c>
      <c r="H92" s="141" t="s">
        <v>595</v>
      </c>
      <c r="I92" s="141">
        <v>1</v>
      </c>
      <c r="J92" s="141">
        <v>150</v>
      </c>
      <c r="K92" s="128"/>
      <c r="N92" s="119"/>
      <c r="P92" s="119"/>
      <c r="Q92" s="119"/>
      <c r="R92" s="119"/>
      <c r="S92" s="119"/>
      <c r="T92" s="119"/>
      <c r="U92" s="119"/>
      <c r="V92" s="119"/>
      <c r="W92" s="119"/>
      <c r="X92" s="119"/>
    </row>
    <row r="93" spans="1:25" x14ac:dyDescent="0.2">
      <c r="A93" s="141">
        <v>19</v>
      </c>
      <c r="B93" s="141" t="s">
        <v>23</v>
      </c>
      <c r="C93" s="141">
        <v>2</v>
      </c>
      <c r="D93" s="141">
        <v>800</v>
      </c>
      <c r="E93" s="141"/>
      <c r="F93" s="141"/>
      <c r="G93" s="141" t="s">
        <v>89</v>
      </c>
      <c r="H93" s="141" t="s">
        <v>596</v>
      </c>
      <c r="I93" s="141">
        <v>1</v>
      </c>
      <c r="J93" s="141">
        <v>150</v>
      </c>
      <c r="K93" s="128"/>
      <c r="N93" s="119"/>
      <c r="P93" s="119"/>
      <c r="Q93" s="119"/>
      <c r="R93" s="119"/>
      <c r="S93" s="119"/>
      <c r="T93" s="119"/>
      <c r="U93" s="119"/>
      <c r="V93" s="119"/>
      <c r="W93" s="119"/>
      <c r="X93" s="119"/>
    </row>
    <row r="94" spans="1:25" x14ac:dyDescent="0.2">
      <c r="A94" s="141" t="s">
        <v>89</v>
      </c>
      <c r="B94" s="141" t="s">
        <v>544</v>
      </c>
      <c r="C94" s="141">
        <v>1</v>
      </c>
      <c r="D94" s="141">
        <v>500</v>
      </c>
      <c r="E94" s="141"/>
      <c r="F94" s="141"/>
      <c r="G94" s="141"/>
      <c r="H94" s="141" t="s">
        <v>230</v>
      </c>
      <c r="I94" s="141">
        <v>4</v>
      </c>
      <c r="J94" s="141">
        <v>750</v>
      </c>
      <c r="K94" s="128"/>
    </row>
    <row r="95" spans="1:25" x14ac:dyDescent="0.2">
      <c r="A95" s="145">
        <v>19</v>
      </c>
      <c r="B95" s="145" t="s">
        <v>545</v>
      </c>
      <c r="C95" s="145">
        <v>3</v>
      </c>
      <c r="D95" s="141">
        <v>900</v>
      </c>
      <c r="E95" s="141"/>
      <c r="F95" s="141"/>
      <c r="G95" s="141"/>
      <c r="H95" s="141" t="s">
        <v>251</v>
      </c>
      <c r="I95" s="141">
        <v>4</v>
      </c>
      <c r="J95" s="141">
        <v>750</v>
      </c>
      <c r="K95" s="128"/>
    </row>
    <row r="96" spans="1:25" x14ac:dyDescent="0.2">
      <c r="A96" s="141">
        <v>19</v>
      </c>
      <c r="B96" s="141" t="s">
        <v>14</v>
      </c>
      <c r="C96" s="141">
        <v>3</v>
      </c>
      <c r="D96" s="141">
        <v>900</v>
      </c>
      <c r="E96" s="141"/>
      <c r="F96" s="141"/>
      <c r="G96" s="141"/>
      <c r="H96" s="141" t="s">
        <v>231</v>
      </c>
      <c r="I96" s="141">
        <v>4</v>
      </c>
      <c r="J96" s="141">
        <v>750</v>
      </c>
      <c r="K96" s="128"/>
    </row>
    <row r="97" spans="1:11" x14ac:dyDescent="0.2">
      <c r="A97" s="141" t="s">
        <v>89</v>
      </c>
      <c r="B97" s="141" t="s">
        <v>86</v>
      </c>
      <c r="C97" s="141">
        <v>1</v>
      </c>
      <c r="D97" s="141">
        <v>500</v>
      </c>
      <c r="E97" s="141"/>
      <c r="F97" s="141"/>
      <c r="G97" s="141" t="s">
        <v>298</v>
      </c>
      <c r="H97" s="141" t="s">
        <v>643</v>
      </c>
      <c r="I97" s="141">
        <v>2</v>
      </c>
      <c r="J97" s="141">
        <v>150</v>
      </c>
      <c r="K97" s="128"/>
    </row>
    <row r="98" spans="1:11" x14ac:dyDescent="0.2">
      <c r="A98" s="141">
        <v>19</v>
      </c>
      <c r="B98" s="141" t="s">
        <v>210</v>
      </c>
      <c r="C98" s="141">
        <v>4</v>
      </c>
      <c r="D98" s="141">
        <v>1000</v>
      </c>
      <c r="E98" s="141"/>
      <c r="F98" s="141"/>
      <c r="G98" s="141"/>
      <c r="H98" s="141" t="s">
        <v>644</v>
      </c>
      <c r="I98" s="141">
        <v>2</v>
      </c>
      <c r="J98" s="141">
        <v>150</v>
      </c>
      <c r="K98" s="128"/>
    </row>
    <row r="99" spans="1:11" x14ac:dyDescent="0.2">
      <c r="A99" s="141" t="s">
        <v>298</v>
      </c>
      <c r="B99" s="141" t="s">
        <v>546</v>
      </c>
      <c r="C99" s="141">
        <v>2</v>
      </c>
      <c r="D99" s="141">
        <v>800</v>
      </c>
      <c r="E99" s="141"/>
      <c r="F99" s="141"/>
      <c r="G99" s="141"/>
      <c r="H99" s="141" t="s">
        <v>645</v>
      </c>
      <c r="I99" s="141">
        <v>2</v>
      </c>
      <c r="J99" s="141">
        <v>150</v>
      </c>
      <c r="K99" s="128"/>
    </row>
    <row r="100" spans="1:11" x14ac:dyDescent="0.2">
      <c r="A100" s="141" t="s">
        <v>279</v>
      </c>
      <c r="B100" s="141" t="s">
        <v>282</v>
      </c>
      <c r="C100" s="141">
        <v>3</v>
      </c>
      <c r="D100" s="141">
        <v>900</v>
      </c>
      <c r="E100" s="141"/>
      <c r="F100" s="141"/>
      <c r="G100" s="141"/>
      <c r="H100" s="141" t="s">
        <v>646</v>
      </c>
      <c r="I100" s="141">
        <v>2</v>
      </c>
      <c r="J100" s="141">
        <v>150</v>
      </c>
      <c r="K100" s="128"/>
    </row>
    <row r="101" spans="1:11" x14ac:dyDescent="0.2">
      <c r="A101" s="141"/>
      <c r="B101" s="141" t="s">
        <v>26</v>
      </c>
      <c r="C101" s="141">
        <v>3</v>
      </c>
      <c r="D101" s="141">
        <v>900</v>
      </c>
      <c r="E101" s="141"/>
      <c r="F101" s="141"/>
      <c r="G101" s="141"/>
      <c r="H101" s="141" t="s">
        <v>647</v>
      </c>
      <c r="I101" s="141">
        <v>2</v>
      </c>
      <c r="J101" s="141">
        <v>150</v>
      </c>
      <c r="K101" s="128"/>
    </row>
    <row r="102" spans="1:11" x14ac:dyDescent="0.2">
      <c r="A102" s="141"/>
      <c r="B102" s="141" t="s">
        <v>547</v>
      </c>
      <c r="C102" s="141">
        <v>2</v>
      </c>
      <c r="D102" s="141">
        <v>800</v>
      </c>
      <c r="E102" s="141"/>
      <c r="F102" s="141"/>
      <c r="G102" s="141"/>
      <c r="H102" s="141" t="s">
        <v>648</v>
      </c>
      <c r="I102" s="141">
        <v>2</v>
      </c>
      <c r="J102" s="141">
        <v>150</v>
      </c>
      <c r="K102" s="128"/>
    </row>
    <row r="103" spans="1:11" x14ac:dyDescent="0.2">
      <c r="A103" s="141"/>
      <c r="B103" s="141" t="s">
        <v>29</v>
      </c>
      <c r="C103" s="141">
        <v>4</v>
      </c>
      <c r="D103" s="141">
        <v>1000</v>
      </c>
      <c r="E103" s="141"/>
      <c r="F103" s="141"/>
      <c r="G103" s="141"/>
      <c r="H103" s="141" t="s">
        <v>576</v>
      </c>
      <c r="I103" s="141">
        <v>1</v>
      </c>
      <c r="J103" s="141">
        <v>0</v>
      </c>
      <c r="K103" s="128"/>
    </row>
    <row r="104" spans="1:11" x14ac:dyDescent="0.2">
      <c r="A104" s="141"/>
      <c r="B104" s="141" t="s">
        <v>550</v>
      </c>
      <c r="C104" s="141">
        <v>4</v>
      </c>
      <c r="D104" s="141">
        <v>1000</v>
      </c>
      <c r="E104" s="141"/>
      <c r="F104" s="141"/>
      <c r="G104" s="141"/>
      <c r="H104" s="141" t="s">
        <v>577</v>
      </c>
      <c r="I104" s="141">
        <v>1</v>
      </c>
      <c r="J104" s="141">
        <v>0</v>
      </c>
      <c r="K104" s="128"/>
    </row>
    <row r="105" spans="1:11" x14ac:dyDescent="0.2">
      <c r="A105" s="141"/>
      <c r="B105" s="141" t="s">
        <v>551</v>
      </c>
      <c r="C105" s="141">
        <v>2</v>
      </c>
      <c r="D105" s="141">
        <v>800</v>
      </c>
      <c r="E105" s="141"/>
      <c r="F105" s="141"/>
      <c r="G105" s="141"/>
      <c r="H105" s="141" t="s">
        <v>578</v>
      </c>
      <c r="I105" s="141">
        <v>1</v>
      </c>
      <c r="J105" s="141">
        <v>0</v>
      </c>
      <c r="K105" s="128"/>
    </row>
    <row r="106" spans="1:11" x14ac:dyDescent="0.2">
      <c r="A106" s="141"/>
      <c r="B106" s="141" t="s">
        <v>552</v>
      </c>
      <c r="C106" s="141">
        <v>1</v>
      </c>
      <c r="D106" s="141">
        <v>0</v>
      </c>
      <c r="E106" s="141"/>
      <c r="F106" s="141"/>
      <c r="G106" s="141" t="s">
        <v>89</v>
      </c>
      <c r="H106" s="141" t="s">
        <v>649</v>
      </c>
      <c r="I106" s="141">
        <v>1</v>
      </c>
      <c r="J106" s="141">
        <v>150</v>
      </c>
      <c r="K106" s="128"/>
    </row>
    <row r="107" spans="1:11" x14ac:dyDescent="0.2">
      <c r="A107" s="141" t="s">
        <v>89</v>
      </c>
      <c r="B107" s="141" t="s">
        <v>553</v>
      </c>
      <c r="C107" s="141">
        <v>1</v>
      </c>
      <c r="D107" s="141">
        <v>500</v>
      </c>
      <c r="E107" s="141"/>
      <c r="F107" s="141"/>
      <c r="G107" s="141" t="s">
        <v>89</v>
      </c>
      <c r="H107" s="141" t="s">
        <v>650</v>
      </c>
      <c r="I107" s="141">
        <v>1</v>
      </c>
      <c r="J107" s="141">
        <v>150</v>
      </c>
      <c r="K107" s="128"/>
    </row>
    <row r="108" spans="1:11" x14ac:dyDescent="0.2">
      <c r="A108" s="141">
        <v>19</v>
      </c>
      <c r="B108" s="141" t="s">
        <v>30</v>
      </c>
      <c r="C108" s="141">
        <v>4</v>
      </c>
      <c r="D108" s="141">
        <v>1000</v>
      </c>
      <c r="E108" s="141"/>
      <c r="F108" s="141"/>
      <c r="G108" s="141" t="s">
        <v>89</v>
      </c>
      <c r="H108" s="141" t="s">
        <v>651</v>
      </c>
      <c r="I108" s="141">
        <v>1</v>
      </c>
      <c r="J108" s="141">
        <v>150</v>
      </c>
      <c r="K108" s="128"/>
    </row>
    <row r="109" spans="1:11" x14ac:dyDescent="0.2">
      <c r="A109" s="141">
        <v>19</v>
      </c>
      <c r="B109" s="141" t="s">
        <v>554</v>
      </c>
      <c r="C109" s="141">
        <v>4</v>
      </c>
      <c r="D109" s="141">
        <v>1000</v>
      </c>
      <c r="E109" s="141"/>
      <c r="F109" s="141"/>
      <c r="G109" s="141"/>
      <c r="H109" s="141" t="s">
        <v>232</v>
      </c>
      <c r="I109" s="141">
        <v>6</v>
      </c>
      <c r="J109" s="141">
        <v>2000</v>
      </c>
      <c r="K109" s="128"/>
    </row>
    <row r="110" spans="1:11" x14ac:dyDescent="0.2">
      <c r="A110" s="141" t="s">
        <v>265</v>
      </c>
      <c r="B110" s="141" t="s">
        <v>555</v>
      </c>
      <c r="C110" s="141">
        <v>1</v>
      </c>
      <c r="D110" s="141">
        <f>130+50-180</f>
        <v>0</v>
      </c>
      <c r="E110" s="141">
        <f>390</f>
        <v>390</v>
      </c>
      <c r="F110" s="141"/>
      <c r="G110" s="141"/>
      <c r="H110" s="141" t="s">
        <v>64</v>
      </c>
      <c r="I110" s="141">
        <v>6</v>
      </c>
      <c r="J110" s="141">
        <v>2000</v>
      </c>
      <c r="K110" s="128"/>
    </row>
    <row r="111" spans="1:11" x14ac:dyDescent="0.2">
      <c r="A111" s="141"/>
      <c r="B111" s="141" t="s">
        <v>33</v>
      </c>
      <c r="C111" s="141">
        <v>6</v>
      </c>
      <c r="D111" s="141">
        <v>1300</v>
      </c>
      <c r="E111" s="141"/>
      <c r="F111" s="141"/>
      <c r="G111" s="141"/>
      <c r="H111" s="141" t="s">
        <v>63</v>
      </c>
      <c r="I111" s="141">
        <v>6</v>
      </c>
      <c r="J111" s="141">
        <v>2000</v>
      </c>
      <c r="K111" s="128"/>
    </row>
    <row r="112" spans="1:11" x14ac:dyDescent="0.2">
      <c r="A112" s="141" t="s">
        <v>298</v>
      </c>
      <c r="B112" s="141" t="s">
        <v>299</v>
      </c>
      <c r="C112" s="141">
        <v>2</v>
      </c>
      <c r="D112" s="141">
        <v>800</v>
      </c>
      <c r="E112" s="141"/>
      <c r="F112" s="141"/>
      <c r="G112" s="141" t="s">
        <v>298</v>
      </c>
      <c r="H112" s="141" t="s">
        <v>302</v>
      </c>
      <c r="I112" s="141">
        <v>2</v>
      </c>
      <c r="J112" s="141">
        <v>150</v>
      </c>
      <c r="K112" s="128"/>
    </row>
    <row r="113" spans="1:11" x14ac:dyDescent="0.2">
      <c r="A113" s="141" t="s">
        <v>298</v>
      </c>
      <c r="B113" s="141" t="s">
        <v>300</v>
      </c>
      <c r="C113" s="141">
        <v>3</v>
      </c>
      <c r="D113" s="141">
        <v>900</v>
      </c>
      <c r="E113" s="141"/>
      <c r="F113" s="141"/>
      <c r="G113" s="141"/>
      <c r="H113" s="141" t="s">
        <v>204</v>
      </c>
      <c r="I113" s="141">
        <v>5</v>
      </c>
      <c r="J113" s="141">
        <v>1150</v>
      </c>
      <c r="K113" s="128"/>
    </row>
    <row r="114" spans="1:11" x14ac:dyDescent="0.2">
      <c r="A114" s="141"/>
      <c r="B114" s="141" t="s">
        <v>32</v>
      </c>
      <c r="C114" s="141">
        <v>5</v>
      </c>
      <c r="D114" s="141">
        <v>1200</v>
      </c>
      <c r="E114" s="141"/>
      <c r="F114" s="141"/>
      <c r="G114" s="141"/>
      <c r="H114" s="141" t="s">
        <v>66</v>
      </c>
      <c r="I114" s="141">
        <v>5</v>
      </c>
      <c r="J114" s="141">
        <v>1150</v>
      </c>
      <c r="K114" s="128"/>
    </row>
    <row r="115" spans="1:11" x14ac:dyDescent="0.2">
      <c r="A115" s="141" t="s">
        <v>214</v>
      </c>
      <c r="B115" s="141" t="s">
        <v>216</v>
      </c>
      <c r="C115" s="148">
        <v>4</v>
      </c>
      <c r="D115" s="141">
        <v>1000</v>
      </c>
      <c r="E115" s="141"/>
      <c r="F115" s="141"/>
      <c r="G115" s="141"/>
      <c r="H115" s="141" t="s">
        <v>65</v>
      </c>
      <c r="I115" s="141">
        <v>5</v>
      </c>
      <c r="J115" s="141">
        <v>1150</v>
      </c>
      <c r="K115" s="128"/>
    </row>
    <row r="116" spans="1:11" x14ac:dyDescent="0.2">
      <c r="A116" s="141">
        <v>19</v>
      </c>
      <c r="B116" s="141" t="s">
        <v>556</v>
      </c>
      <c r="C116" s="141">
        <v>5</v>
      </c>
      <c r="D116" s="141">
        <v>1200</v>
      </c>
      <c r="E116" s="141"/>
      <c r="F116" s="141"/>
      <c r="G116" s="141"/>
      <c r="H116" s="141" t="s">
        <v>233</v>
      </c>
      <c r="I116" s="141">
        <v>4</v>
      </c>
      <c r="J116" s="141">
        <v>750</v>
      </c>
      <c r="K116" s="128"/>
    </row>
    <row r="117" spans="1:11" x14ac:dyDescent="0.2">
      <c r="A117" s="141"/>
      <c r="B117" s="141" t="s">
        <v>140</v>
      </c>
      <c r="C117" s="141">
        <v>2</v>
      </c>
      <c r="D117" s="141">
        <v>800</v>
      </c>
      <c r="E117" s="141"/>
      <c r="F117" s="141"/>
      <c r="G117" s="141"/>
      <c r="H117" s="141" t="s">
        <v>234</v>
      </c>
      <c r="I117" s="141">
        <v>4</v>
      </c>
      <c r="J117" s="141">
        <v>750</v>
      </c>
      <c r="K117" s="128"/>
    </row>
    <row r="118" spans="1:11" x14ac:dyDescent="0.2">
      <c r="A118" s="141"/>
      <c r="B118" s="141" t="s">
        <v>141</v>
      </c>
      <c r="C118" s="141">
        <v>2</v>
      </c>
      <c r="D118" s="141">
        <v>800</v>
      </c>
      <c r="E118" s="141"/>
      <c r="F118" s="141"/>
      <c r="G118" s="141"/>
      <c r="H118" s="141" t="s">
        <v>236</v>
      </c>
      <c r="I118" s="141">
        <v>2</v>
      </c>
      <c r="J118" s="141">
        <v>150</v>
      </c>
      <c r="K118" s="128"/>
    </row>
    <row r="119" spans="1:11" x14ac:dyDescent="0.2">
      <c r="A119" s="141" t="s">
        <v>89</v>
      </c>
      <c r="B119" s="141" t="s">
        <v>557</v>
      </c>
      <c r="C119" s="141">
        <v>1</v>
      </c>
      <c r="D119" s="141">
        <v>500</v>
      </c>
      <c r="E119" s="141"/>
      <c r="F119" s="141"/>
      <c r="G119" s="141"/>
      <c r="H119" s="141" t="s">
        <v>68</v>
      </c>
      <c r="I119" s="141">
        <v>2</v>
      </c>
      <c r="J119" s="141">
        <v>150</v>
      </c>
      <c r="K119" s="128"/>
    </row>
    <row r="120" spans="1:11" x14ac:dyDescent="0.2">
      <c r="A120" s="141"/>
      <c r="B120" s="141" t="s">
        <v>27</v>
      </c>
      <c r="C120" s="141">
        <v>3</v>
      </c>
      <c r="D120" s="141">
        <v>900</v>
      </c>
      <c r="E120" s="141"/>
      <c r="F120" s="141"/>
      <c r="G120" s="141"/>
      <c r="H120" s="141" t="s">
        <v>67</v>
      </c>
      <c r="I120" s="141">
        <v>2</v>
      </c>
      <c r="J120" s="141">
        <v>150</v>
      </c>
      <c r="K120" s="128"/>
    </row>
    <row r="121" spans="1:11" x14ac:dyDescent="0.2">
      <c r="A121" s="141" t="s">
        <v>89</v>
      </c>
      <c r="B121" s="141" t="s">
        <v>558</v>
      </c>
      <c r="C121" s="141">
        <v>1</v>
      </c>
      <c r="D121" s="141">
        <v>500</v>
      </c>
      <c r="E121" s="141"/>
      <c r="F121" s="141"/>
      <c r="G121" s="141"/>
      <c r="H121" s="141" t="s">
        <v>235</v>
      </c>
      <c r="I121" s="141">
        <v>2</v>
      </c>
      <c r="J121" s="141">
        <v>150</v>
      </c>
      <c r="K121" s="128"/>
    </row>
    <row r="122" spans="1:11" x14ac:dyDescent="0.2">
      <c r="A122" s="141">
        <v>19</v>
      </c>
      <c r="B122" s="141" t="s">
        <v>559</v>
      </c>
      <c r="C122" s="141">
        <v>4</v>
      </c>
      <c r="D122" s="141">
        <v>1000</v>
      </c>
      <c r="E122" s="141"/>
      <c r="F122" s="141"/>
      <c r="G122" s="141"/>
      <c r="H122" s="141" t="s">
        <v>70</v>
      </c>
      <c r="I122" s="141">
        <v>2</v>
      </c>
      <c r="J122" s="141">
        <v>150</v>
      </c>
      <c r="K122" s="128"/>
    </row>
    <row r="123" spans="1:11" x14ac:dyDescent="0.2">
      <c r="A123" s="141" t="s">
        <v>298</v>
      </c>
      <c r="B123" s="141" t="s">
        <v>560</v>
      </c>
      <c r="C123" s="141">
        <v>4</v>
      </c>
      <c r="D123" s="141">
        <v>1000</v>
      </c>
      <c r="E123" s="141"/>
      <c r="F123" s="141"/>
      <c r="G123" s="141"/>
      <c r="H123" s="141" t="s">
        <v>69</v>
      </c>
      <c r="I123" s="141">
        <v>2</v>
      </c>
      <c r="J123" s="141">
        <v>150</v>
      </c>
      <c r="K123" s="128"/>
    </row>
    <row r="124" spans="1:11" x14ac:dyDescent="0.2">
      <c r="A124" s="141">
        <v>19</v>
      </c>
      <c r="B124" s="141" t="s">
        <v>561</v>
      </c>
      <c r="C124" s="141">
        <v>3</v>
      </c>
      <c r="D124" s="141">
        <v>900</v>
      </c>
      <c r="E124" s="141"/>
      <c r="F124" s="141"/>
      <c r="G124" s="141" t="s">
        <v>89</v>
      </c>
      <c r="H124" s="141" t="s">
        <v>652</v>
      </c>
      <c r="I124" s="141">
        <v>1</v>
      </c>
      <c r="J124" s="141">
        <v>150</v>
      </c>
      <c r="K124" s="128"/>
    </row>
    <row r="125" spans="1:11" x14ac:dyDescent="0.2">
      <c r="A125" s="141">
        <v>19</v>
      </c>
      <c r="B125" s="141" t="s">
        <v>685</v>
      </c>
      <c r="C125" s="141">
        <v>3</v>
      </c>
      <c r="D125" s="141">
        <v>900</v>
      </c>
      <c r="E125" s="141"/>
      <c r="F125" s="141"/>
      <c r="G125" s="141" t="s">
        <v>89</v>
      </c>
      <c r="H125" s="141" t="s">
        <v>653</v>
      </c>
      <c r="I125" s="141">
        <v>1</v>
      </c>
      <c r="J125" s="141">
        <v>150</v>
      </c>
      <c r="K125" s="128"/>
    </row>
    <row r="126" spans="1:11" x14ac:dyDescent="0.2">
      <c r="A126" s="141">
        <v>19</v>
      </c>
      <c r="B126" s="141" t="s">
        <v>179</v>
      </c>
      <c r="C126" s="141">
        <v>5</v>
      </c>
      <c r="D126" s="141">
        <v>1200</v>
      </c>
      <c r="E126" s="141"/>
      <c r="F126" s="141"/>
      <c r="G126" s="141" t="s">
        <v>89</v>
      </c>
      <c r="H126" s="141" t="s">
        <v>654</v>
      </c>
      <c r="I126" s="141">
        <v>1</v>
      </c>
      <c r="J126" s="141">
        <v>150</v>
      </c>
      <c r="K126" s="128"/>
    </row>
    <row r="127" spans="1:11" x14ac:dyDescent="0.2">
      <c r="A127" s="141"/>
      <c r="B127" s="141" t="s">
        <v>562</v>
      </c>
      <c r="C127" s="141">
        <v>3</v>
      </c>
      <c r="D127" s="141">
        <v>900</v>
      </c>
      <c r="E127" s="141"/>
      <c r="F127" s="141"/>
      <c r="G127" s="141"/>
      <c r="H127" s="141" t="s">
        <v>237</v>
      </c>
      <c r="I127" s="141">
        <v>3</v>
      </c>
      <c r="J127" s="141">
        <v>450</v>
      </c>
      <c r="K127" s="128"/>
    </row>
    <row r="128" spans="1:11" x14ac:dyDescent="0.2">
      <c r="A128" s="141"/>
      <c r="B128" s="141" t="s">
        <v>563</v>
      </c>
      <c r="C128" s="141">
        <v>3</v>
      </c>
      <c r="D128" s="141">
        <v>900</v>
      </c>
      <c r="E128" s="141"/>
      <c r="F128" s="141"/>
      <c r="G128" s="141" t="s">
        <v>89</v>
      </c>
      <c r="H128" s="141" t="s">
        <v>238</v>
      </c>
      <c r="I128" s="141">
        <v>1</v>
      </c>
      <c r="J128" s="141">
        <v>150</v>
      </c>
      <c r="K128" s="128"/>
    </row>
    <row r="129" spans="1:11" x14ac:dyDescent="0.2">
      <c r="A129" s="141"/>
      <c r="B129" s="141" t="s">
        <v>564</v>
      </c>
      <c r="C129" s="141">
        <v>4</v>
      </c>
      <c r="D129" s="141">
        <v>1000</v>
      </c>
      <c r="E129" s="141"/>
      <c r="F129" s="141"/>
      <c r="G129" s="141" t="s">
        <v>89</v>
      </c>
      <c r="H129" s="141" t="s">
        <v>72</v>
      </c>
      <c r="I129" s="141">
        <v>1</v>
      </c>
      <c r="J129" s="141">
        <v>150</v>
      </c>
      <c r="K129" s="128"/>
    </row>
    <row r="130" spans="1:11" x14ac:dyDescent="0.2">
      <c r="A130" s="141"/>
      <c r="B130" s="141" t="s">
        <v>565</v>
      </c>
      <c r="C130" s="141">
        <v>2</v>
      </c>
      <c r="D130" s="141">
        <v>800</v>
      </c>
      <c r="E130" s="141"/>
      <c r="F130" s="141"/>
      <c r="G130" s="141" t="s">
        <v>89</v>
      </c>
      <c r="H130" s="141" t="s">
        <v>71</v>
      </c>
      <c r="I130" s="141">
        <v>1</v>
      </c>
      <c r="J130" s="141">
        <v>150</v>
      </c>
      <c r="K130" s="128"/>
    </row>
    <row r="131" spans="1:11" x14ac:dyDescent="0.2">
      <c r="A131" s="141">
        <v>19</v>
      </c>
      <c r="B131" s="141" t="s">
        <v>31</v>
      </c>
      <c r="C131" s="141">
        <v>4</v>
      </c>
      <c r="D131" s="141">
        <v>1000</v>
      </c>
      <c r="E131" s="141"/>
      <c r="F131" s="141"/>
      <c r="G131" s="141"/>
      <c r="H131" s="141" t="s">
        <v>239</v>
      </c>
      <c r="I131" s="141">
        <v>3</v>
      </c>
      <c r="J131" s="141">
        <v>450</v>
      </c>
      <c r="K131" s="128"/>
    </row>
    <row r="132" spans="1:11" x14ac:dyDescent="0.2">
      <c r="A132" s="141" t="s">
        <v>125</v>
      </c>
      <c r="B132" s="141" t="s">
        <v>139</v>
      </c>
      <c r="C132" s="148">
        <v>6</v>
      </c>
      <c r="D132" s="141">
        <v>1300</v>
      </c>
      <c r="E132" s="141"/>
      <c r="F132" s="141"/>
      <c r="G132" s="141" t="s">
        <v>89</v>
      </c>
      <c r="H132" s="141" t="s">
        <v>74</v>
      </c>
      <c r="I132" s="141">
        <v>1</v>
      </c>
      <c r="J132" s="141">
        <v>150</v>
      </c>
      <c r="K132" s="128"/>
    </row>
    <row r="133" spans="1:11" x14ac:dyDescent="0.2">
      <c r="A133" s="141" t="s">
        <v>298</v>
      </c>
      <c r="B133" s="141" t="s">
        <v>566</v>
      </c>
      <c r="C133" s="148">
        <v>4</v>
      </c>
      <c r="D133" s="141">
        <v>1000</v>
      </c>
      <c r="E133" s="141"/>
      <c r="F133" s="141"/>
      <c r="G133" s="141" t="s">
        <v>89</v>
      </c>
      <c r="H133" s="141" t="s">
        <v>73</v>
      </c>
      <c r="I133" s="141">
        <v>1</v>
      </c>
      <c r="J133" s="141">
        <v>150</v>
      </c>
      <c r="K133" s="128"/>
    </row>
    <row r="134" spans="1:11" x14ac:dyDescent="0.2">
      <c r="A134" s="141" t="s">
        <v>125</v>
      </c>
      <c r="B134" s="141" t="s">
        <v>579</v>
      </c>
      <c r="C134" s="148">
        <v>2</v>
      </c>
      <c r="D134" s="141">
        <v>800</v>
      </c>
      <c r="E134" s="141"/>
      <c r="F134" s="141"/>
      <c r="G134" s="141"/>
      <c r="H134" s="141" t="s">
        <v>525</v>
      </c>
      <c r="I134" s="141">
        <v>3</v>
      </c>
      <c r="J134" s="141">
        <v>450</v>
      </c>
      <c r="K134" s="128"/>
    </row>
    <row r="135" spans="1:11" x14ac:dyDescent="0.2">
      <c r="A135" s="141" t="s">
        <v>125</v>
      </c>
      <c r="B135" s="141" t="s">
        <v>597</v>
      </c>
      <c r="C135" s="148">
        <v>6</v>
      </c>
      <c r="D135" s="141">
        <v>1300</v>
      </c>
      <c r="E135" s="141"/>
      <c r="F135" s="141"/>
      <c r="G135" s="141"/>
      <c r="H135" s="141" t="s">
        <v>509</v>
      </c>
      <c r="I135" s="141">
        <v>3</v>
      </c>
      <c r="J135" s="141">
        <v>450</v>
      </c>
      <c r="K135" s="128"/>
    </row>
    <row r="136" spans="1:11" x14ac:dyDescent="0.2">
      <c r="A136" s="141" t="s">
        <v>265</v>
      </c>
      <c r="B136" s="141" t="s">
        <v>270</v>
      </c>
      <c r="C136" s="141">
        <v>1</v>
      </c>
      <c r="D136" s="141">
        <f>130+50-180</f>
        <v>0</v>
      </c>
      <c r="E136" s="141">
        <f>230</f>
        <v>230</v>
      </c>
      <c r="F136" s="141"/>
      <c r="G136" s="141"/>
      <c r="H136" s="141" t="s">
        <v>526</v>
      </c>
      <c r="I136" s="141">
        <v>3</v>
      </c>
      <c r="J136" s="141">
        <v>450</v>
      </c>
      <c r="K136" s="128"/>
    </row>
    <row r="137" spans="1:11" x14ac:dyDescent="0.2">
      <c r="A137" s="141"/>
      <c r="B137" s="141" t="s">
        <v>598</v>
      </c>
      <c r="C137" s="141">
        <v>2</v>
      </c>
      <c r="D137" s="141">
        <v>800</v>
      </c>
      <c r="E137" s="141"/>
      <c r="F137" s="141"/>
      <c r="G137" s="141"/>
      <c r="H137" s="141" t="s">
        <v>510</v>
      </c>
      <c r="I137" s="141">
        <v>3</v>
      </c>
      <c r="J137" s="141">
        <v>450</v>
      </c>
      <c r="K137" s="128"/>
    </row>
    <row r="138" spans="1:11" x14ac:dyDescent="0.2">
      <c r="A138" s="141">
        <v>19</v>
      </c>
      <c r="B138" s="141" t="s">
        <v>211</v>
      </c>
      <c r="C138" s="141">
        <v>3</v>
      </c>
      <c r="D138" s="141">
        <v>900</v>
      </c>
      <c r="E138" s="141"/>
      <c r="F138" s="141"/>
      <c r="G138" s="141"/>
      <c r="H138" s="141" t="s">
        <v>527</v>
      </c>
      <c r="I138" s="141">
        <v>3</v>
      </c>
      <c r="J138" s="141">
        <v>450</v>
      </c>
      <c r="K138" s="128"/>
    </row>
    <row r="139" spans="1:11" x14ac:dyDescent="0.2">
      <c r="A139" s="141" t="s">
        <v>298</v>
      </c>
      <c r="B139" s="141" t="s">
        <v>301</v>
      </c>
      <c r="C139" s="141">
        <v>5</v>
      </c>
      <c r="D139" s="141">
        <v>1200</v>
      </c>
      <c r="E139" s="141"/>
      <c r="F139" s="141"/>
      <c r="G139" s="141"/>
      <c r="H139" s="141" t="s">
        <v>511</v>
      </c>
      <c r="I139" s="141">
        <v>3</v>
      </c>
      <c r="J139" s="141">
        <v>450</v>
      </c>
      <c r="K139" s="128"/>
    </row>
    <row r="140" spans="1:11" x14ac:dyDescent="0.2">
      <c r="A140" s="141" t="s">
        <v>89</v>
      </c>
      <c r="B140" s="141" t="s">
        <v>88</v>
      </c>
      <c r="C140" s="141">
        <v>1</v>
      </c>
      <c r="D140" s="141">
        <v>500</v>
      </c>
      <c r="E140" s="141"/>
      <c r="F140" s="141"/>
      <c r="G140" s="141"/>
      <c r="H140" s="141" t="s">
        <v>205</v>
      </c>
      <c r="I140" s="141">
        <v>4</v>
      </c>
      <c r="J140" s="141">
        <v>750</v>
      </c>
      <c r="K140" s="128"/>
    </row>
    <row r="141" spans="1:11" x14ac:dyDescent="0.2">
      <c r="A141" s="141" t="s">
        <v>89</v>
      </c>
      <c r="B141" s="141" t="s">
        <v>528</v>
      </c>
      <c r="C141" s="141">
        <v>2</v>
      </c>
      <c r="D141" s="141">
        <v>800</v>
      </c>
      <c r="E141" s="141"/>
      <c r="F141" s="141"/>
      <c r="G141" s="141"/>
      <c r="H141" s="141" t="s">
        <v>76</v>
      </c>
      <c r="I141" s="141">
        <v>4</v>
      </c>
      <c r="J141" s="141">
        <v>750</v>
      </c>
      <c r="K141" s="128"/>
    </row>
    <row r="142" spans="1:11" x14ac:dyDescent="0.2">
      <c r="A142" s="141" t="s">
        <v>89</v>
      </c>
      <c r="B142" s="141" t="s">
        <v>512</v>
      </c>
      <c r="C142" s="141">
        <v>2</v>
      </c>
      <c r="D142" s="141">
        <v>800</v>
      </c>
      <c r="E142" s="141"/>
      <c r="F142" s="141"/>
      <c r="G142" s="141"/>
      <c r="H142" s="141" t="s">
        <v>75</v>
      </c>
      <c r="I142" s="141">
        <v>4</v>
      </c>
      <c r="J142" s="141">
        <v>750</v>
      </c>
      <c r="K142" s="128"/>
    </row>
    <row r="143" spans="1:11" x14ac:dyDescent="0.2">
      <c r="A143" s="141">
        <v>19</v>
      </c>
      <c r="B143" s="141" t="s">
        <v>175</v>
      </c>
      <c r="C143" s="141">
        <v>2</v>
      </c>
      <c r="D143" s="141">
        <v>800</v>
      </c>
      <c r="E143" s="141"/>
      <c r="F143" s="141"/>
      <c r="G143" s="141"/>
      <c r="H143" s="141" t="s">
        <v>580</v>
      </c>
      <c r="I143" s="141">
        <v>2</v>
      </c>
      <c r="J143" s="141">
        <v>150</v>
      </c>
      <c r="K143" s="128"/>
    </row>
    <row r="144" spans="1:11" x14ac:dyDescent="0.2">
      <c r="A144" s="141" t="s">
        <v>279</v>
      </c>
      <c r="B144" s="141" t="s">
        <v>283</v>
      </c>
      <c r="C144" s="141">
        <v>5</v>
      </c>
      <c r="D144" s="141">
        <v>1200</v>
      </c>
      <c r="E144" s="141"/>
      <c r="F144" s="141"/>
      <c r="G144" s="141"/>
      <c r="H144" s="141" t="s">
        <v>581</v>
      </c>
      <c r="I144" s="141">
        <v>2</v>
      </c>
      <c r="J144" s="141">
        <v>150</v>
      </c>
      <c r="K144" s="128"/>
    </row>
    <row r="145" spans="1:11" x14ac:dyDescent="0.2">
      <c r="A145" s="141"/>
      <c r="B145" s="141" t="s">
        <v>599</v>
      </c>
      <c r="C145" s="141">
        <v>5</v>
      </c>
      <c r="D145" s="141">
        <v>1200</v>
      </c>
      <c r="E145" s="141"/>
      <c r="F145" s="141"/>
      <c r="G145" s="141"/>
      <c r="H145" s="141" t="s">
        <v>582</v>
      </c>
      <c r="I145" s="141">
        <v>2</v>
      </c>
      <c r="J145" s="141">
        <v>150</v>
      </c>
      <c r="K145" s="128"/>
    </row>
    <row r="146" spans="1:11" x14ac:dyDescent="0.2">
      <c r="A146" s="141" t="s">
        <v>125</v>
      </c>
      <c r="B146" s="141" t="s">
        <v>600</v>
      </c>
      <c r="C146" s="141">
        <v>2</v>
      </c>
      <c r="D146" s="141">
        <v>800</v>
      </c>
      <c r="E146" s="141"/>
      <c r="F146" s="141"/>
      <c r="G146" s="141"/>
      <c r="H146" s="141" t="s">
        <v>206</v>
      </c>
      <c r="I146" s="141">
        <v>4</v>
      </c>
      <c r="J146" s="141">
        <v>750</v>
      </c>
      <c r="K146" s="128"/>
    </row>
    <row r="147" spans="1:11" x14ac:dyDescent="0.2">
      <c r="A147" s="141" t="s">
        <v>125</v>
      </c>
      <c r="B147" s="141" t="s">
        <v>601</v>
      </c>
      <c r="C147" s="141">
        <v>2</v>
      </c>
      <c r="D147" s="141">
        <v>800</v>
      </c>
      <c r="E147" s="141"/>
      <c r="F147" s="141"/>
      <c r="G147" s="141"/>
      <c r="H147" s="141" t="s">
        <v>78</v>
      </c>
      <c r="I147" s="141">
        <v>4</v>
      </c>
      <c r="J147" s="141">
        <v>750</v>
      </c>
      <c r="K147" s="128"/>
    </row>
    <row r="148" spans="1:11" x14ac:dyDescent="0.2">
      <c r="A148" s="141" t="s">
        <v>125</v>
      </c>
      <c r="B148" s="141" t="s">
        <v>602</v>
      </c>
      <c r="C148" s="141">
        <v>4</v>
      </c>
      <c r="D148" s="141">
        <v>1000</v>
      </c>
      <c r="E148" s="141"/>
      <c r="F148" s="141"/>
      <c r="G148" s="141"/>
      <c r="H148" s="141" t="s">
        <v>77</v>
      </c>
      <c r="I148" s="141">
        <v>4</v>
      </c>
      <c r="J148" s="141">
        <v>750</v>
      </c>
      <c r="K148" s="128"/>
    </row>
    <row r="149" spans="1:11" x14ac:dyDescent="0.2">
      <c r="A149" s="141" t="s">
        <v>125</v>
      </c>
      <c r="B149" s="141" t="s">
        <v>603</v>
      </c>
      <c r="C149" s="141">
        <v>4</v>
      </c>
      <c r="D149" s="141">
        <v>1000</v>
      </c>
      <c r="E149" s="141"/>
      <c r="F149" s="141"/>
      <c r="G149" s="141"/>
      <c r="H149" s="141" t="s">
        <v>240</v>
      </c>
      <c r="I149" s="141">
        <v>3</v>
      </c>
      <c r="J149" s="141">
        <v>450</v>
      </c>
      <c r="K149" s="128"/>
    </row>
    <row r="150" spans="1:11" x14ac:dyDescent="0.2">
      <c r="A150" s="141" t="s">
        <v>125</v>
      </c>
      <c r="B150" s="141" t="s">
        <v>604</v>
      </c>
      <c r="C150" s="141">
        <v>2</v>
      </c>
      <c r="D150" s="141">
        <v>800</v>
      </c>
      <c r="E150" s="141"/>
      <c r="F150" s="141"/>
      <c r="G150" s="141"/>
      <c r="H150" s="141" t="s">
        <v>252</v>
      </c>
      <c r="I150" s="141">
        <v>3</v>
      </c>
      <c r="J150" s="141">
        <v>450</v>
      </c>
      <c r="K150" s="128"/>
    </row>
    <row r="151" spans="1:11" x14ac:dyDescent="0.2">
      <c r="A151" s="141" t="s">
        <v>125</v>
      </c>
      <c r="B151" s="141" t="s">
        <v>605</v>
      </c>
      <c r="C151" s="141">
        <v>2</v>
      </c>
      <c r="D151" s="141">
        <v>800</v>
      </c>
      <c r="E151" s="141"/>
      <c r="F151" s="141"/>
      <c r="G151" s="141"/>
      <c r="H151" s="141" t="s">
        <v>241</v>
      </c>
      <c r="I151" s="141">
        <v>3</v>
      </c>
      <c r="J151" s="141">
        <v>450</v>
      </c>
      <c r="K151" s="128"/>
    </row>
    <row r="152" spans="1:11" x14ac:dyDescent="0.2">
      <c r="A152" s="141" t="s">
        <v>125</v>
      </c>
      <c r="B152" s="141" t="s">
        <v>606</v>
      </c>
      <c r="C152" s="141">
        <v>4</v>
      </c>
      <c r="D152" s="141">
        <v>1000</v>
      </c>
      <c r="E152" s="141"/>
      <c r="F152" s="141"/>
      <c r="G152" s="141" t="s">
        <v>89</v>
      </c>
      <c r="H152" s="141" t="s">
        <v>242</v>
      </c>
      <c r="I152" s="141">
        <v>1</v>
      </c>
      <c r="J152" s="141">
        <v>150</v>
      </c>
      <c r="K152" s="128"/>
    </row>
    <row r="153" spans="1:11" x14ac:dyDescent="0.2">
      <c r="A153" s="141" t="s">
        <v>125</v>
      </c>
      <c r="B153" s="141" t="s">
        <v>607</v>
      </c>
      <c r="C153" s="141">
        <v>4</v>
      </c>
      <c r="D153" s="141">
        <v>1000</v>
      </c>
      <c r="E153" s="141"/>
      <c r="F153" s="141"/>
      <c r="G153" s="141" t="s">
        <v>89</v>
      </c>
      <c r="H153" s="141" t="s">
        <v>80</v>
      </c>
      <c r="I153" s="141">
        <v>1</v>
      </c>
      <c r="J153" s="141">
        <v>150</v>
      </c>
      <c r="K153" s="128"/>
    </row>
    <row r="154" spans="1:11" x14ac:dyDescent="0.2">
      <c r="A154" s="141" t="s">
        <v>125</v>
      </c>
      <c r="B154" s="141" t="s">
        <v>608</v>
      </c>
      <c r="C154" s="141">
        <v>2</v>
      </c>
      <c r="D154" s="141">
        <v>800</v>
      </c>
      <c r="E154" s="141"/>
      <c r="F154" s="141"/>
      <c r="G154" s="141" t="s">
        <v>89</v>
      </c>
      <c r="H154" s="141" t="s">
        <v>79</v>
      </c>
      <c r="I154" s="141">
        <v>1</v>
      </c>
      <c r="J154" s="141">
        <v>150</v>
      </c>
      <c r="K154" s="128"/>
    </row>
    <row r="155" spans="1:11" x14ac:dyDescent="0.2">
      <c r="A155" s="141" t="s">
        <v>125</v>
      </c>
      <c r="B155" s="141" t="s">
        <v>609</v>
      </c>
      <c r="C155" s="141">
        <v>2</v>
      </c>
      <c r="D155" s="141">
        <v>800</v>
      </c>
      <c r="E155" s="141"/>
      <c r="F155" s="141"/>
      <c r="G155" s="141" t="s">
        <v>89</v>
      </c>
      <c r="H155" s="141" t="s">
        <v>529</v>
      </c>
      <c r="I155" s="141">
        <v>2</v>
      </c>
      <c r="J155" s="141">
        <v>150</v>
      </c>
      <c r="K155" s="128"/>
    </row>
    <row r="156" spans="1:11" x14ac:dyDescent="0.2">
      <c r="A156" s="141" t="s">
        <v>125</v>
      </c>
      <c r="B156" s="141" t="s">
        <v>610</v>
      </c>
      <c r="C156" s="141">
        <v>2</v>
      </c>
      <c r="D156" s="141">
        <v>800</v>
      </c>
      <c r="E156" s="141"/>
      <c r="F156" s="141"/>
      <c r="G156" s="141" t="s">
        <v>89</v>
      </c>
      <c r="H156" s="141" t="s">
        <v>513</v>
      </c>
      <c r="I156" s="141">
        <v>2</v>
      </c>
      <c r="J156" s="141">
        <v>150</v>
      </c>
      <c r="K156" s="128"/>
    </row>
    <row r="157" spans="1:11" x14ac:dyDescent="0.2">
      <c r="A157" s="141" t="s">
        <v>125</v>
      </c>
      <c r="B157" s="141" t="s">
        <v>611</v>
      </c>
      <c r="C157" s="141">
        <v>2</v>
      </c>
      <c r="D157" s="141">
        <v>800</v>
      </c>
      <c r="E157" s="141"/>
      <c r="F157" s="141"/>
      <c r="G157" s="141" t="s">
        <v>89</v>
      </c>
      <c r="H157" s="141" t="s">
        <v>530</v>
      </c>
      <c r="I157" s="141">
        <v>2</v>
      </c>
      <c r="J157" s="141">
        <v>150</v>
      </c>
      <c r="K157" s="128"/>
    </row>
    <row r="158" spans="1:11" x14ac:dyDescent="0.2">
      <c r="A158" s="141"/>
      <c r="B158" s="141" t="s">
        <v>583</v>
      </c>
      <c r="C158" s="141">
        <v>5</v>
      </c>
      <c r="D158" s="141">
        <v>1200</v>
      </c>
      <c r="E158" s="141"/>
      <c r="F158" s="141"/>
      <c r="G158" s="141" t="s">
        <v>89</v>
      </c>
      <c r="H158" s="141" t="s">
        <v>514</v>
      </c>
      <c r="I158" s="141">
        <v>2</v>
      </c>
      <c r="J158" s="141">
        <v>150</v>
      </c>
      <c r="K158" s="128"/>
    </row>
    <row r="159" spans="1:11" x14ac:dyDescent="0.2">
      <c r="A159" s="141" t="s">
        <v>89</v>
      </c>
      <c r="B159" s="141" t="s">
        <v>531</v>
      </c>
      <c r="C159" s="141">
        <v>1</v>
      </c>
      <c r="D159" s="141">
        <v>500</v>
      </c>
      <c r="E159" s="141"/>
      <c r="F159" s="141"/>
      <c r="G159" s="141"/>
      <c r="H159" s="141" t="s">
        <v>243</v>
      </c>
      <c r="I159" s="141">
        <v>2</v>
      </c>
      <c r="J159" s="141">
        <v>150</v>
      </c>
      <c r="K159" s="128"/>
    </row>
    <row r="160" spans="1:11" x14ac:dyDescent="0.2">
      <c r="A160" s="141" t="s">
        <v>89</v>
      </c>
      <c r="B160" s="141" t="s">
        <v>515</v>
      </c>
      <c r="C160" s="141">
        <v>1</v>
      </c>
      <c r="D160" s="141">
        <v>500</v>
      </c>
      <c r="E160" s="141"/>
      <c r="F160" s="141"/>
      <c r="G160" s="141"/>
      <c r="H160" s="141" t="s">
        <v>177</v>
      </c>
      <c r="I160" s="141">
        <v>2</v>
      </c>
      <c r="J160" s="141">
        <v>150</v>
      </c>
      <c r="K160" s="128"/>
    </row>
    <row r="161" spans="1:11" x14ac:dyDescent="0.2">
      <c r="A161" s="141"/>
      <c r="B161" s="141" t="s">
        <v>28</v>
      </c>
      <c r="C161" s="141">
        <v>3</v>
      </c>
      <c r="D161" s="141">
        <v>900</v>
      </c>
      <c r="E161" s="141"/>
      <c r="F161" s="141"/>
      <c r="G161" s="141"/>
      <c r="H161" s="141" t="s">
        <v>176</v>
      </c>
      <c r="I161" s="141">
        <v>2</v>
      </c>
      <c r="J161" s="141">
        <v>150</v>
      </c>
      <c r="K161" s="128"/>
    </row>
    <row r="162" spans="1:11" x14ac:dyDescent="0.2">
      <c r="D162" s="141"/>
      <c r="E162" s="141"/>
      <c r="F162" s="141"/>
      <c r="G162" s="141"/>
      <c r="H162" s="141" t="s">
        <v>244</v>
      </c>
      <c r="I162" s="141">
        <v>5</v>
      </c>
      <c r="J162" s="141">
        <v>1150</v>
      </c>
      <c r="K162" s="128"/>
    </row>
    <row r="163" spans="1:11" x14ac:dyDescent="0.2">
      <c r="D163" s="141"/>
      <c r="E163" s="141"/>
      <c r="F163" s="141"/>
      <c r="G163" s="141"/>
      <c r="H163" s="141" t="s">
        <v>82</v>
      </c>
      <c r="I163" s="141">
        <v>5</v>
      </c>
      <c r="J163" s="141">
        <v>1150</v>
      </c>
      <c r="K163" s="128"/>
    </row>
    <row r="164" spans="1:11" x14ac:dyDescent="0.2">
      <c r="D164" s="141"/>
      <c r="E164" s="141"/>
      <c r="F164" s="141"/>
      <c r="G164" s="141"/>
      <c r="H164" s="141" t="s">
        <v>81</v>
      </c>
      <c r="I164" s="141">
        <v>5</v>
      </c>
      <c r="J164" s="141">
        <v>1150</v>
      </c>
      <c r="K164" s="128"/>
    </row>
    <row r="165" spans="1:11" x14ac:dyDescent="0.2">
      <c r="A165" s="141"/>
      <c r="B165" s="141"/>
      <c r="C165" s="141"/>
      <c r="D165" s="141"/>
      <c r="E165" s="141"/>
      <c r="F165" s="141"/>
      <c r="G165" s="141"/>
      <c r="H165" s="141" t="s">
        <v>584</v>
      </c>
      <c r="I165" s="141">
        <v>5</v>
      </c>
      <c r="J165" s="141">
        <v>1150</v>
      </c>
      <c r="K165" s="128"/>
    </row>
    <row r="166" spans="1:11" x14ac:dyDescent="0.2">
      <c r="B166" s="141"/>
      <c r="C166" s="141"/>
      <c r="D166" s="141"/>
      <c r="E166" s="141"/>
      <c r="F166" s="141"/>
      <c r="G166" s="141"/>
      <c r="H166" s="141" t="s">
        <v>585</v>
      </c>
      <c r="I166" s="141">
        <v>5</v>
      </c>
      <c r="J166" s="141">
        <v>1150</v>
      </c>
      <c r="K166" s="128"/>
    </row>
    <row r="167" spans="1:11" x14ac:dyDescent="0.2">
      <c r="B167" s="141"/>
      <c r="C167" s="141"/>
      <c r="D167" s="141"/>
      <c r="E167" s="141"/>
      <c r="F167" s="141"/>
      <c r="G167" s="141"/>
      <c r="H167" s="141" t="s">
        <v>586</v>
      </c>
      <c r="I167" s="141">
        <v>5</v>
      </c>
      <c r="J167" s="141">
        <v>1150</v>
      </c>
      <c r="K167" s="128"/>
    </row>
    <row r="168" spans="1:11" x14ac:dyDescent="0.2">
      <c r="B168" s="141"/>
      <c r="C168" s="141"/>
      <c r="D168" s="141"/>
      <c r="E168" s="141"/>
      <c r="F168" s="141"/>
      <c r="G168" s="141" t="s">
        <v>89</v>
      </c>
      <c r="H168" s="141" t="s">
        <v>532</v>
      </c>
      <c r="I168" s="141">
        <v>1</v>
      </c>
      <c r="J168" s="141">
        <v>150</v>
      </c>
      <c r="K168" s="128"/>
    </row>
    <row r="169" spans="1:11" x14ac:dyDescent="0.2">
      <c r="B169" s="141"/>
      <c r="C169" s="141"/>
      <c r="D169" s="141"/>
      <c r="E169" s="141"/>
      <c r="F169" s="141"/>
      <c r="G169" s="141" t="s">
        <v>89</v>
      </c>
      <c r="H169" s="141" t="s">
        <v>516</v>
      </c>
      <c r="I169" s="141">
        <v>1</v>
      </c>
      <c r="J169" s="141">
        <v>150</v>
      </c>
      <c r="K169" s="128"/>
    </row>
    <row r="170" spans="1:11" x14ac:dyDescent="0.2">
      <c r="B170" s="141"/>
      <c r="C170" s="141"/>
      <c r="D170" s="141"/>
      <c r="E170" s="141"/>
      <c r="F170" s="141"/>
      <c r="G170" s="141" t="s">
        <v>89</v>
      </c>
      <c r="H170" s="141" t="s">
        <v>533</v>
      </c>
      <c r="I170" s="141">
        <v>1</v>
      </c>
      <c r="J170" s="141">
        <v>150</v>
      </c>
      <c r="K170" s="128"/>
    </row>
    <row r="171" spans="1:11" x14ac:dyDescent="0.2">
      <c r="B171" s="141"/>
      <c r="C171" s="141"/>
      <c r="D171" s="141"/>
      <c r="E171" s="141"/>
      <c r="F171" s="141"/>
      <c r="G171" s="141" t="s">
        <v>89</v>
      </c>
      <c r="H171" s="141" t="s">
        <v>517</v>
      </c>
      <c r="I171" s="141">
        <v>1</v>
      </c>
      <c r="J171" s="141">
        <v>150</v>
      </c>
      <c r="K171" s="128"/>
    </row>
    <row r="172" spans="1:11" x14ac:dyDescent="0.2">
      <c r="B172" s="141"/>
      <c r="C172" s="141"/>
      <c r="D172" s="141"/>
      <c r="E172" s="141"/>
      <c r="F172" s="141"/>
      <c r="G172" s="141" t="s">
        <v>89</v>
      </c>
      <c r="H172" s="141" t="s">
        <v>534</v>
      </c>
      <c r="I172" s="141">
        <v>1</v>
      </c>
      <c r="J172" s="141">
        <v>150</v>
      </c>
      <c r="K172" s="128"/>
    </row>
    <row r="173" spans="1:11" x14ac:dyDescent="0.2">
      <c r="B173" s="141"/>
      <c r="C173" s="141"/>
      <c r="D173" s="141"/>
      <c r="E173" s="141"/>
      <c r="F173" s="141"/>
      <c r="G173" s="141" t="s">
        <v>89</v>
      </c>
      <c r="H173" s="141" t="s">
        <v>518</v>
      </c>
      <c r="I173" s="141">
        <v>1</v>
      </c>
      <c r="J173" s="141">
        <v>150</v>
      </c>
    </row>
    <row r="174" spans="1:11" x14ac:dyDescent="0.2">
      <c r="B174" s="141"/>
      <c r="C174" s="141"/>
      <c r="D174" s="141"/>
      <c r="E174" s="61"/>
      <c r="F174" s="128"/>
    </row>
    <row r="175" spans="1:11" x14ac:dyDescent="0.2">
      <c r="B175" s="141"/>
      <c r="C175" s="141"/>
      <c r="D175" s="141"/>
      <c r="E175" s="61"/>
    </row>
    <row r="176" spans="1:11" x14ac:dyDescent="0.2">
      <c r="B176" s="141"/>
      <c r="C176" s="141"/>
      <c r="D176" s="141"/>
      <c r="E176" s="61"/>
    </row>
    <row r="177" spans="2:10" x14ac:dyDescent="0.2">
      <c r="B177" s="141"/>
      <c r="C177" s="141"/>
      <c r="D177" s="141"/>
      <c r="E177" s="61"/>
      <c r="G177" s="141"/>
      <c r="H177" s="141"/>
      <c r="I177" s="141"/>
      <c r="J177" s="128"/>
    </row>
    <row r="178" spans="2:10" x14ac:dyDescent="0.2">
      <c r="B178" s="141"/>
      <c r="C178" s="141"/>
      <c r="D178" s="141"/>
      <c r="E178" s="61"/>
      <c r="G178" s="141"/>
      <c r="H178" s="141"/>
      <c r="I178" s="141"/>
      <c r="J178" s="128"/>
    </row>
    <row r="179" spans="2:10" x14ac:dyDescent="0.2">
      <c r="B179" s="141"/>
      <c r="C179" s="141"/>
      <c r="D179" s="141"/>
      <c r="E179" s="61"/>
      <c r="G179" s="141"/>
      <c r="H179" s="141"/>
      <c r="I179" s="141"/>
      <c r="J179" s="128"/>
    </row>
    <row r="180" spans="2:10" x14ac:dyDescent="0.2">
      <c r="B180" s="141"/>
      <c r="C180" s="141"/>
      <c r="D180" s="141"/>
      <c r="E180" s="61"/>
    </row>
    <row r="181" spans="2:10" x14ac:dyDescent="0.2">
      <c r="B181" s="141"/>
      <c r="C181" s="141"/>
      <c r="D181" s="141"/>
      <c r="E181" s="61"/>
    </row>
    <row r="182" spans="2:10" x14ac:dyDescent="0.2">
      <c r="B182" s="141"/>
      <c r="C182" s="141"/>
      <c r="D182" s="141"/>
      <c r="E182" s="61"/>
    </row>
    <row r="183" spans="2:10" x14ac:dyDescent="0.2">
      <c r="B183" s="141"/>
      <c r="C183" s="141"/>
      <c r="D183" s="141"/>
      <c r="E183" s="61"/>
    </row>
    <row r="184" spans="2:10" x14ac:dyDescent="0.2">
      <c r="B184" s="141"/>
      <c r="C184" s="141"/>
      <c r="D184" s="141"/>
      <c r="E184" s="61"/>
    </row>
    <row r="185" spans="2:10" x14ac:dyDescent="0.2">
      <c r="B185" s="141"/>
      <c r="C185" s="141"/>
      <c r="D185" s="141"/>
      <c r="E185" s="61"/>
    </row>
    <row r="186" spans="2:10" x14ac:dyDescent="0.2">
      <c r="B186" s="141"/>
      <c r="C186" s="141"/>
      <c r="D186" s="141"/>
    </row>
    <row r="187" spans="2:10" x14ac:dyDescent="0.2">
      <c r="B187" s="141"/>
      <c r="C187" s="141"/>
      <c r="D187" s="141"/>
    </row>
    <row r="188" spans="2:10" x14ac:dyDescent="0.2">
      <c r="B188" s="141"/>
      <c r="C188" s="141"/>
      <c r="D188" s="141"/>
    </row>
    <row r="189" spans="2:10" x14ac:dyDescent="0.2">
      <c r="B189" s="141"/>
      <c r="C189" s="141"/>
      <c r="D189" s="141"/>
    </row>
    <row r="190" spans="2:10" x14ac:dyDescent="0.2">
      <c r="B190" s="141"/>
      <c r="C190" s="141"/>
      <c r="D190" s="141"/>
    </row>
    <row r="191" spans="2:10" x14ac:dyDescent="0.2">
      <c r="B191" s="141"/>
      <c r="C191" s="141"/>
      <c r="D191" s="141"/>
    </row>
    <row r="192" spans="2:10" x14ac:dyDescent="0.2">
      <c r="B192" s="141"/>
      <c r="C192" s="141"/>
      <c r="D192" s="141"/>
    </row>
  </sheetData>
  <autoFilter ref="A2:X176" xr:uid="{00000000-0009-0000-0000-000003000000}"/>
  <customSheetViews>
    <customSheetView guid="{700CC08B-C9E0-4A9E-9D69-3098FEE5461F}" scale="85" showGridLines="0" showAutoFilter="1" state="hidden" topLeftCell="A67">
      <selection activeCell="B85" sqref="B85"/>
      <pageMargins left="0.75" right="0.75" top="1" bottom="1" header="0.5" footer="0.5"/>
      <pageSetup paperSize="9" orientation="portrait" r:id="rId1"/>
      <headerFooter alignWithMargins="0"/>
      <autoFilter ref="A2:X176" xr:uid="{00000000-0000-0000-0000-000000000000}"/>
    </customSheetView>
  </customSheetViews>
  <phoneticPr fontId="3" type="noConversion"/>
  <pageMargins left="0.75" right="0.75" top="1" bottom="1" header="0.5" footer="0.5"/>
  <pageSetup paperSize="9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/>
  <dimension ref="A1:R32"/>
  <sheetViews>
    <sheetView zoomScale="85" workbookViewId="0">
      <selection activeCell="C29" sqref="C29"/>
    </sheetView>
  </sheetViews>
  <sheetFormatPr defaultRowHeight="12.75" x14ac:dyDescent="0.2"/>
  <cols>
    <col min="1" max="1" width="9.140625" style="1" customWidth="1"/>
    <col min="2" max="2" width="34" bestFit="1" customWidth="1"/>
    <col min="3" max="3" width="11" style="143" bestFit="1" customWidth="1"/>
    <col min="4" max="4" width="9.140625" style="143" customWidth="1"/>
    <col min="6" max="6" width="8.85546875" customWidth="1"/>
    <col min="8" max="8" width="35.140625" bestFit="1" customWidth="1"/>
    <col min="14" max="14" width="30.28515625" bestFit="1" customWidth="1"/>
  </cols>
  <sheetData>
    <row r="1" spans="1:18" x14ac:dyDescent="0.2">
      <c r="B1" s="23" t="s">
        <v>40</v>
      </c>
      <c r="C1" s="143" t="s">
        <v>5</v>
      </c>
      <c r="D1" s="143" t="s">
        <v>12</v>
      </c>
      <c r="E1" t="s">
        <v>303</v>
      </c>
      <c r="G1" t="s">
        <v>274</v>
      </c>
      <c r="M1">
        <f>'Бланк зам Плівка'!F196</f>
        <v>1</v>
      </c>
      <c r="N1" t="s">
        <v>276</v>
      </c>
      <c r="O1">
        <f>IF(ISNA(VLOOKUP(M1,$M$3:$O$19,3,0)),1,VLOOKUP(M1,$M$3:$O$19,3,0))</f>
        <v>1</v>
      </c>
    </row>
    <row r="2" spans="1:18" x14ac:dyDescent="0.2">
      <c r="A2" s="1">
        <v>1</v>
      </c>
      <c r="B2" s="22" t="s">
        <v>13</v>
      </c>
      <c r="C2" s="21">
        <v>0</v>
      </c>
      <c r="F2">
        <f>IF($M$1=$M$5,0,IF($M$1=$M$6,0,1))</f>
        <v>1</v>
      </c>
      <c r="G2" s="140">
        <f>A2</f>
        <v>1</v>
      </c>
      <c r="H2" s="140" t="str">
        <f>IF($F2=1,B2,"---")</f>
        <v>---</v>
      </c>
      <c r="I2" s="140">
        <f>IF($F2=1,C2,0)</f>
        <v>0</v>
      </c>
      <c r="J2" s="140">
        <f>IF($F2=1,D2,0)</f>
        <v>0</v>
      </c>
    </row>
    <row r="3" spans="1:18" x14ac:dyDescent="0.2">
      <c r="A3" s="1">
        <v>2</v>
      </c>
      <c r="B3" s="108" t="s">
        <v>144</v>
      </c>
      <c r="C3" s="173">
        <v>1200</v>
      </c>
      <c r="D3" s="143">
        <v>1</v>
      </c>
      <c r="F3" s="152">
        <f>$O$1</f>
        <v>1</v>
      </c>
      <c r="G3" s="140">
        <f>A3</f>
        <v>2</v>
      </c>
      <c r="H3" s="140" t="str">
        <f>IF($F3=0,"Не патинируется",IF(F3=3,IF((E3-F3)=0,B3,"---"),B3))</f>
        <v>грей</v>
      </c>
      <c r="I3" s="140">
        <f t="shared" ref="I3:I28" si="0">IF($F3=1,C3,IF(H3="---",0,IF(H3="Не патинируется",0,C3)))</f>
        <v>1200</v>
      </c>
      <c r="J3" s="140">
        <f>IF(I3&gt;0,D3,0)</f>
        <v>1</v>
      </c>
      <c r="M3">
        <f>Пленки!A20</f>
        <v>3</v>
      </c>
      <c r="N3" t="str">
        <f>Пленки!B20</f>
        <v>0025 (А) Білий матовий</v>
      </c>
      <c r="O3">
        <v>3</v>
      </c>
      <c r="P3" t="s">
        <v>296</v>
      </c>
    </row>
    <row r="4" spans="1:18" x14ac:dyDescent="0.2">
      <c r="A4" s="1">
        <v>3</v>
      </c>
      <c r="B4" s="108" t="s">
        <v>153</v>
      </c>
      <c r="C4" s="173">
        <v>1400</v>
      </c>
      <c r="D4" s="143">
        <v>3</v>
      </c>
      <c r="E4">
        <v>3</v>
      </c>
      <c r="F4" s="152">
        <f t="shared" ref="F4:F28" si="1">$O$1</f>
        <v>1</v>
      </c>
      <c r="G4" s="140">
        <f t="shared" ref="G4:G28" si="2">A4</f>
        <v>3</v>
      </c>
      <c r="H4" s="140" t="str">
        <f>IF($F4=0,"Не патинируется",IF(F4=3,IF((E4-F4)=0,B4,"---"),B4))</f>
        <v>грей (пл. №34,25)</v>
      </c>
      <c r="I4" s="140">
        <f t="shared" si="0"/>
        <v>1400</v>
      </c>
      <c r="J4" s="140">
        <f t="shared" ref="J4:J28" si="3">IF(I4&gt;0,D4,0)</f>
        <v>3</v>
      </c>
      <c r="M4">
        <f>Пленки!A22</f>
        <v>5</v>
      </c>
      <c r="N4" t="str">
        <f>Пленки!B22</f>
        <v>0034 (A) Матовий крем</v>
      </c>
      <c r="O4">
        <v>3</v>
      </c>
      <c r="P4" t="s">
        <v>296</v>
      </c>
    </row>
    <row r="5" spans="1:18" x14ac:dyDescent="0.2">
      <c r="A5" s="1">
        <v>4</v>
      </c>
      <c r="B5" s="108" t="s">
        <v>165</v>
      </c>
      <c r="C5" s="173">
        <v>1200</v>
      </c>
      <c r="D5" s="143">
        <v>1</v>
      </c>
      <c r="E5" s="119"/>
      <c r="F5" s="152">
        <f t="shared" si="1"/>
        <v>1</v>
      </c>
      <c r="G5" s="140">
        <f t="shared" si="2"/>
        <v>4</v>
      </c>
      <c r="H5" s="140" t="str">
        <f t="shared" ref="H5:H28" si="4">IF($F5=0,"Не патинируется",IF(F5=3,IF((E5-F5)=0,B5,"---"),B5))</f>
        <v>гранат</v>
      </c>
      <c r="I5" s="140">
        <f t="shared" si="0"/>
        <v>1200</v>
      </c>
      <c r="J5" s="140">
        <f t="shared" si="3"/>
        <v>1</v>
      </c>
      <c r="K5" s="119"/>
      <c r="M5" s="154">
        <f>Пленки!A38</f>
        <v>21</v>
      </c>
      <c r="N5" s="154" t="str">
        <f>Пленки!B38</f>
        <v>0073 Шовк</v>
      </c>
      <c r="O5" s="154">
        <v>0</v>
      </c>
      <c r="P5" s="154" t="s">
        <v>275</v>
      </c>
      <c r="Q5" s="154"/>
    </row>
    <row r="6" spans="1:18" x14ac:dyDescent="0.2">
      <c r="A6" s="1">
        <v>5</v>
      </c>
      <c r="B6" s="108" t="s">
        <v>167</v>
      </c>
      <c r="C6" s="173">
        <v>1400</v>
      </c>
      <c r="D6" s="143">
        <v>3</v>
      </c>
      <c r="E6">
        <v>3</v>
      </c>
      <c r="F6" s="152">
        <f t="shared" si="1"/>
        <v>1</v>
      </c>
      <c r="G6" s="140">
        <f t="shared" si="2"/>
        <v>5</v>
      </c>
      <c r="H6" s="140" t="str">
        <f t="shared" si="4"/>
        <v>гранат (пл. №34,25)</v>
      </c>
      <c r="I6" s="140">
        <f t="shared" si="0"/>
        <v>1400</v>
      </c>
      <c r="J6" s="140">
        <f t="shared" si="3"/>
        <v>3</v>
      </c>
      <c r="K6" s="119"/>
      <c r="M6" s="154">
        <f>Пленки!A106</f>
        <v>89</v>
      </c>
      <c r="N6" s="154" t="str">
        <f>Пленки!B106</f>
        <v>0553 Песочний Сірий софт</v>
      </c>
      <c r="O6" s="154">
        <v>0</v>
      </c>
      <c r="P6" s="154" t="s">
        <v>275</v>
      </c>
      <c r="Q6" s="154"/>
      <c r="R6" s="119"/>
    </row>
    <row r="7" spans="1:18" s="119" customFormat="1" x14ac:dyDescent="0.2">
      <c r="A7" s="1">
        <v>6</v>
      </c>
      <c r="B7" s="108" t="s">
        <v>166</v>
      </c>
      <c r="C7" s="173">
        <v>1200</v>
      </c>
      <c r="D7" s="143">
        <v>1</v>
      </c>
      <c r="F7" s="152">
        <f t="shared" si="1"/>
        <v>1</v>
      </c>
      <c r="G7" s="140">
        <f t="shared" si="2"/>
        <v>6</v>
      </c>
      <c r="H7" s="140" t="str">
        <f t="shared" si="4"/>
        <v>джинс</v>
      </c>
      <c r="I7" s="140">
        <f t="shared" si="0"/>
        <v>1200</v>
      </c>
      <c r="J7" s="140">
        <f t="shared" si="3"/>
        <v>1</v>
      </c>
      <c r="M7" s="154">
        <f>Пленки!A107</f>
        <v>90</v>
      </c>
      <c r="N7" s="154" t="str">
        <f>Пленки!B107</f>
        <v>0554 Світлий какао софт</v>
      </c>
      <c r="O7" s="154">
        <v>0</v>
      </c>
      <c r="P7" s="154" t="s">
        <v>275</v>
      </c>
      <c r="Q7" s="154"/>
    </row>
    <row r="8" spans="1:18" s="119" customFormat="1" x14ac:dyDescent="0.2">
      <c r="A8" s="1">
        <v>7</v>
      </c>
      <c r="B8" s="108" t="s">
        <v>168</v>
      </c>
      <c r="C8" s="173">
        <v>1400</v>
      </c>
      <c r="D8" s="143">
        <v>3</v>
      </c>
      <c r="E8">
        <v>3</v>
      </c>
      <c r="F8" s="152">
        <f t="shared" si="1"/>
        <v>1</v>
      </c>
      <c r="G8" s="140">
        <f t="shared" si="2"/>
        <v>7</v>
      </c>
      <c r="H8" s="140" t="str">
        <f t="shared" si="4"/>
        <v>джинс (пл. №34,25)</v>
      </c>
      <c r="I8" s="140">
        <f t="shared" si="0"/>
        <v>1400</v>
      </c>
      <c r="J8" s="140">
        <f t="shared" si="3"/>
        <v>3</v>
      </c>
      <c r="M8" s="154">
        <f>Пленки!A111</f>
        <v>94</v>
      </c>
      <c r="N8" s="154" t="str">
        <f>Пленки!B111</f>
        <v>0563 Білий перламутр глянець</v>
      </c>
      <c r="O8" s="154">
        <v>0</v>
      </c>
      <c r="P8" s="154" t="s">
        <v>275</v>
      </c>
      <c r="Q8" s="154"/>
    </row>
    <row r="9" spans="1:18" s="119" customFormat="1" x14ac:dyDescent="0.2">
      <c r="A9" s="1">
        <v>8</v>
      </c>
      <c r="B9" t="s">
        <v>145</v>
      </c>
      <c r="C9" s="173">
        <v>1200</v>
      </c>
      <c r="D9" s="143">
        <v>2</v>
      </c>
      <c r="E9">
        <v>3</v>
      </c>
      <c r="F9" s="152">
        <f t="shared" si="1"/>
        <v>1</v>
      </c>
      <c r="G9" s="140">
        <f t="shared" si="2"/>
        <v>8</v>
      </c>
      <c r="H9" s="140" t="str">
        <f t="shared" si="4"/>
        <v>золото</v>
      </c>
      <c r="I9" s="140">
        <f t="shared" si="0"/>
        <v>1200</v>
      </c>
      <c r="J9" s="140">
        <f t="shared" si="3"/>
        <v>2</v>
      </c>
      <c r="K9"/>
      <c r="M9" s="154">
        <f>Пленки!A122</f>
        <v>105</v>
      </c>
      <c r="N9" s="154" t="str">
        <f>Пленки!B122</f>
        <v>E582 (V) Ваніль сатин</v>
      </c>
      <c r="O9" s="154">
        <v>0</v>
      </c>
      <c r="P9" s="154" t="s">
        <v>275</v>
      </c>
      <c r="Q9" s="154"/>
    </row>
    <row r="10" spans="1:18" s="119" customFormat="1" x14ac:dyDescent="0.2">
      <c r="A10" s="1">
        <v>9</v>
      </c>
      <c r="B10" s="108" t="s">
        <v>146</v>
      </c>
      <c r="C10" s="173">
        <v>1200</v>
      </c>
      <c r="D10" s="143">
        <v>1</v>
      </c>
      <c r="E10"/>
      <c r="F10" s="152">
        <f t="shared" si="1"/>
        <v>1</v>
      </c>
      <c r="G10" s="140">
        <f t="shared" si="2"/>
        <v>9</v>
      </c>
      <c r="H10" s="140" t="str">
        <f t="shared" si="4"/>
        <v>коричневое</v>
      </c>
      <c r="I10" s="140">
        <f t="shared" si="0"/>
        <v>1200</v>
      </c>
      <c r="J10" s="140">
        <f t="shared" si="3"/>
        <v>1</v>
      </c>
      <c r="K10"/>
      <c r="M10" s="154">
        <f>Пленки!A125</f>
        <v>108</v>
      </c>
      <c r="N10" s="154" t="str">
        <f>Пленки!B125</f>
        <v>E588 Елегантний Сірий софт</v>
      </c>
      <c r="O10" s="154">
        <v>0</v>
      </c>
      <c r="P10" s="154" t="s">
        <v>275</v>
      </c>
      <c r="Q10" s="154"/>
    </row>
    <row r="11" spans="1:18" s="119" customFormat="1" x14ac:dyDescent="0.2">
      <c r="A11" s="1">
        <v>10</v>
      </c>
      <c r="B11" s="108" t="s">
        <v>154</v>
      </c>
      <c r="C11" s="173">
        <v>1400</v>
      </c>
      <c r="D11" s="143">
        <v>3</v>
      </c>
      <c r="E11">
        <v>3</v>
      </c>
      <c r="F11" s="152">
        <f t="shared" si="1"/>
        <v>1</v>
      </c>
      <c r="G11" s="140">
        <f t="shared" si="2"/>
        <v>10</v>
      </c>
      <c r="H11" s="140" t="str">
        <f t="shared" si="4"/>
        <v>коричневое (пл. №34,25)</v>
      </c>
      <c r="I11" s="140">
        <f t="shared" si="0"/>
        <v>1400</v>
      </c>
      <c r="J11" s="140">
        <f t="shared" si="3"/>
        <v>3</v>
      </c>
      <c r="K11"/>
      <c r="M11" s="154">
        <f>Пленки!A132</f>
        <v>115</v>
      </c>
      <c r="N11" s="154" t="str">
        <f>Пленки!B132</f>
        <v>0650 Білий софт</v>
      </c>
      <c r="O11" s="154">
        <v>0</v>
      </c>
      <c r="P11" s="154" t="s">
        <v>275</v>
      </c>
      <c r="Q11" s="154"/>
    </row>
    <row r="12" spans="1:18" s="119" customFormat="1" x14ac:dyDescent="0.2">
      <c r="A12" s="1">
        <v>11</v>
      </c>
      <c r="B12" t="s">
        <v>147</v>
      </c>
      <c r="C12" s="173">
        <v>1200</v>
      </c>
      <c r="D12" s="143">
        <v>2</v>
      </c>
      <c r="E12">
        <v>3</v>
      </c>
      <c r="F12" s="152">
        <f t="shared" si="1"/>
        <v>1</v>
      </c>
      <c r="G12" s="140">
        <f t="shared" si="2"/>
        <v>11</v>
      </c>
      <c r="H12" s="140" t="str">
        <f t="shared" si="4"/>
        <v>красное золото</v>
      </c>
      <c r="I12" s="140">
        <f t="shared" si="0"/>
        <v>1200</v>
      </c>
      <c r="J12" s="140">
        <f t="shared" si="3"/>
        <v>2</v>
      </c>
      <c r="K12"/>
      <c r="M12" s="154">
        <f>Пленки!A133</f>
        <v>116</v>
      </c>
      <c r="N12" s="154" t="str">
        <f>Пленки!B133</f>
        <v>0651 Ваніль софт</v>
      </c>
      <c r="O12" s="154">
        <v>0</v>
      </c>
      <c r="P12" s="154" t="s">
        <v>275</v>
      </c>
      <c r="Q12" s="154"/>
    </row>
    <row r="13" spans="1:18" s="119" customFormat="1" x14ac:dyDescent="0.2">
      <c r="A13" s="1">
        <v>12</v>
      </c>
      <c r="B13" s="108" t="s">
        <v>148</v>
      </c>
      <c r="C13" s="173">
        <v>1200</v>
      </c>
      <c r="D13" s="143">
        <v>1</v>
      </c>
      <c r="E13"/>
      <c r="F13" s="152">
        <f t="shared" si="1"/>
        <v>1</v>
      </c>
      <c r="G13" s="140">
        <f t="shared" si="2"/>
        <v>12</v>
      </c>
      <c r="H13" s="140" t="str">
        <f t="shared" si="4"/>
        <v>красно-коричневое</v>
      </c>
      <c r="I13" s="140">
        <f t="shared" si="0"/>
        <v>1200</v>
      </c>
      <c r="J13" s="140">
        <f t="shared" si="3"/>
        <v>1</v>
      </c>
      <c r="K13"/>
    </row>
    <row r="14" spans="1:18" s="119" customFormat="1" x14ac:dyDescent="0.2">
      <c r="A14" s="1">
        <v>13</v>
      </c>
      <c r="B14" s="108" t="s">
        <v>155</v>
      </c>
      <c r="C14" s="173">
        <v>1400</v>
      </c>
      <c r="D14" s="143">
        <v>3</v>
      </c>
      <c r="E14">
        <v>3</v>
      </c>
      <c r="F14" s="152">
        <f t="shared" si="1"/>
        <v>1</v>
      </c>
      <c r="G14" s="140">
        <f t="shared" si="2"/>
        <v>13</v>
      </c>
      <c r="H14" s="140" t="str">
        <f t="shared" si="4"/>
        <v>красно-коричневое (пл. №34,25)</v>
      </c>
      <c r="I14" s="140">
        <f t="shared" si="0"/>
        <v>1400</v>
      </c>
      <c r="J14" s="140">
        <f t="shared" si="3"/>
        <v>3</v>
      </c>
      <c r="K14"/>
      <c r="M14"/>
      <c r="N14"/>
      <c r="O14"/>
      <c r="P14"/>
      <c r="Q14"/>
      <c r="R14"/>
    </row>
    <row r="15" spans="1:18" x14ac:dyDescent="0.2">
      <c r="A15" s="1">
        <v>14</v>
      </c>
      <c r="B15" s="108" t="s">
        <v>158</v>
      </c>
      <c r="C15" s="173">
        <v>700</v>
      </c>
      <c r="D15" s="143">
        <v>1</v>
      </c>
      <c r="E15">
        <v>3</v>
      </c>
      <c r="F15" s="152">
        <f t="shared" si="1"/>
        <v>1</v>
      </c>
      <c r="G15" s="140">
        <f t="shared" si="2"/>
        <v>14</v>
      </c>
      <c r="H15" s="140" t="str">
        <f t="shared" si="4"/>
        <v>лак Глянец</v>
      </c>
      <c r="I15" s="140">
        <f t="shared" si="0"/>
        <v>700</v>
      </c>
      <c r="J15" s="140">
        <f t="shared" si="3"/>
        <v>1</v>
      </c>
    </row>
    <row r="16" spans="1:18" x14ac:dyDescent="0.2">
      <c r="A16" s="1">
        <v>15</v>
      </c>
      <c r="B16" s="108" t="s">
        <v>159</v>
      </c>
      <c r="C16" s="173">
        <v>700</v>
      </c>
      <c r="D16" s="143">
        <v>1</v>
      </c>
      <c r="E16">
        <v>3</v>
      </c>
      <c r="F16" s="152">
        <f t="shared" si="1"/>
        <v>1</v>
      </c>
      <c r="G16" s="140">
        <f t="shared" si="2"/>
        <v>15</v>
      </c>
      <c r="H16" s="140" t="str">
        <f t="shared" si="4"/>
        <v>лак Матовый</v>
      </c>
      <c r="I16" s="140">
        <f>IF($F16=1,C16,IF(H16="---",0,IF(H16="Не патинируется",0,C16)))</f>
        <v>700</v>
      </c>
      <c r="J16" s="140">
        <f t="shared" si="3"/>
        <v>1</v>
      </c>
    </row>
    <row r="17" spans="1:18" x14ac:dyDescent="0.2">
      <c r="A17" s="1">
        <v>16</v>
      </c>
      <c r="B17" s="108" t="s">
        <v>169</v>
      </c>
      <c r="C17" s="173">
        <v>1200</v>
      </c>
      <c r="D17" s="143">
        <v>1</v>
      </c>
      <c r="E17" s="119"/>
      <c r="F17" s="152">
        <f t="shared" si="1"/>
        <v>1</v>
      </c>
      <c r="G17" s="140">
        <f t="shared" si="2"/>
        <v>16</v>
      </c>
      <c r="H17" s="140" t="str">
        <f t="shared" si="4"/>
        <v>олива</v>
      </c>
      <c r="I17" s="140">
        <f t="shared" si="0"/>
        <v>1200</v>
      </c>
      <c r="J17" s="140">
        <f t="shared" si="3"/>
        <v>1</v>
      </c>
      <c r="K17" s="119"/>
    </row>
    <row r="18" spans="1:18" x14ac:dyDescent="0.2">
      <c r="A18" s="1">
        <v>17</v>
      </c>
      <c r="B18" s="108" t="s">
        <v>171</v>
      </c>
      <c r="C18" s="173">
        <v>1400</v>
      </c>
      <c r="D18" s="143">
        <v>3</v>
      </c>
      <c r="E18">
        <v>3</v>
      </c>
      <c r="F18" s="152">
        <f t="shared" si="1"/>
        <v>1</v>
      </c>
      <c r="G18" s="140">
        <f t="shared" si="2"/>
        <v>17</v>
      </c>
      <c r="H18" s="140" t="str">
        <f t="shared" si="4"/>
        <v>олива (пл. №34,25)</v>
      </c>
      <c r="I18" s="140">
        <f t="shared" si="0"/>
        <v>1400</v>
      </c>
      <c r="J18" s="140">
        <f t="shared" si="3"/>
        <v>3</v>
      </c>
      <c r="K18" s="119"/>
    </row>
    <row r="19" spans="1:18" x14ac:dyDescent="0.2">
      <c r="A19" s="1">
        <v>18</v>
      </c>
      <c r="B19" s="108" t="s">
        <v>170</v>
      </c>
      <c r="C19" s="173">
        <v>1200</v>
      </c>
      <c r="D19" s="143">
        <v>1</v>
      </c>
      <c r="E19" s="119"/>
      <c r="F19" s="152">
        <f t="shared" si="1"/>
        <v>1</v>
      </c>
      <c r="G19" s="140">
        <f t="shared" si="2"/>
        <v>18</v>
      </c>
      <c r="H19" s="140" t="str">
        <f t="shared" si="4"/>
        <v>олива темная</v>
      </c>
      <c r="I19" s="140">
        <f t="shared" si="0"/>
        <v>1200</v>
      </c>
      <c r="J19" s="140">
        <f t="shared" si="3"/>
        <v>1</v>
      </c>
      <c r="K19" s="119"/>
      <c r="M19" s="153"/>
      <c r="N19" s="153"/>
      <c r="O19" s="153"/>
      <c r="P19" s="153"/>
    </row>
    <row r="20" spans="1:18" x14ac:dyDescent="0.2">
      <c r="A20" s="1">
        <v>19</v>
      </c>
      <c r="B20" s="108" t="s">
        <v>172</v>
      </c>
      <c r="C20" s="173">
        <v>1400</v>
      </c>
      <c r="D20" s="143">
        <v>3</v>
      </c>
      <c r="E20">
        <v>3</v>
      </c>
      <c r="F20" s="152">
        <f t="shared" si="1"/>
        <v>1</v>
      </c>
      <c r="G20" s="140">
        <f t="shared" si="2"/>
        <v>19</v>
      </c>
      <c r="H20" s="140" t="str">
        <f t="shared" si="4"/>
        <v>олива темная (пл. №34,25)</v>
      </c>
      <c r="I20" s="140">
        <f t="shared" si="0"/>
        <v>1400</v>
      </c>
      <c r="J20" s="140">
        <f t="shared" si="3"/>
        <v>3</v>
      </c>
      <c r="K20" s="119"/>
    </row>
    <row r="21" spans="1:18" x14ac:dyDescent="0.2">
      <c r="A21" s="1">
        <v>20</v>
      </c>
      <c r="B21" t="s">
        <v>149</v>
      </c>
      <c r="C21" s="173">
        <v>1200</v>
      </c>
      <c r="D21" s="143">
        <v>2</v>
      </c>
      <c r="E21">
        <v>3</v>
      </c>
      <c r="F21" s="152">
        <f t="shared" si="1"/>
        <v>1</v>
      </c>
      <c r="G21" s="140">
        <f t="shared" si="2"/>
        <v>20</v>
      </c>
      <c r="H21" s="140" t="str">
        <f t="shared" si="4"/>
        <v>медь</v>
      </c>
      <c r="I21" s="140">
        <f t="shared" si="0"/>
        <v>1200</v>
      </c>
      <c r="J21" s="140">
        <f t="shared" si="3"/>
        <v>2</v>
      </c>
      <c r="M21" s="119"/>
      <c r="N21" s="119"/>
      <c r="O21" s="119"/>
      <c r="P21" s="119"/>
      <c r="Q21" s="119"/>
    </row>
    <row r="22" spans="1:18" s="119" customFormat="1" x14ac:dyDescent="0.2">
      <c r="A22" s="1">
        <v>21</v>
      </c>
      <c r="B22" s="108" t="s">
        <v>150</v>
      </c>
      <c r="C22" s="173">
        <v>1200</v>
      </c>
      <c r="D22" s="143">
        <v>1</v>
      </c>
      <c r="E22"/>
      <c r="F22" s="152">
        <f t="shared" si="1"/>
        <v>1</v>
      </c>
      <c r="G22" s="140">
        <f t="shared" si="2"/>
        <v>21</v>
      </c>
      <c r="H22" s="140" t="str">
        <f t="shared" si="4"/>
        <v>св.орех</v>
      </c>
      <c r="I22" s="140">
        <f t="shared" si="0"/>
        <v>1200</v>
      </c>
      <c r="J22" s="140">
        <f t="shared" si="3"/>
        <v>1</v>
      </c>
      <c r="K22"/>
    </row>
    <row r="23" spans="1:18" s="119" customFormat="1" x14ac:dyDescent="0.2">
      <c r="A23" s="1">
        <v>22</v>
      </c>
      <c r="B23" s="108" t="s">
        <v>156</v>
      </c>
      <c r="C23" s="173">
        <v>1400</v>
      </c>
      <c r="D23" s="143">
        <v>3</v>
      </c>
      <c r="E23">
        <v>3</v>
      </c>
      <c r="F23" s="152">
        <f t="shared" si="1"/>
        <v>1</v>
      </c>
      <c r="G23" s="140">
        <f t="shared" si="2"/>
        <v>22</v>
      </c>
      <c r="H23" s="140" t="str">
        <f t="shared" si="4"/>
        <v>св.орех (пл. №34,25)</v>
      </c>
      <c r="I23" s="140">
        <f t="shared" si="0"/>
        <v>1400</v>
      </c>
      <c r="J23" s="140">
        <f t="shared" si="3"/>
        <v>3</v>
      </c>
      <c r="K23"/>
    </row>
    <row r="24" spans="1:18" s="119" customFormat="1" x14ac:dyDescent="0.2">
      <c r="A24" s="1">
        <v>23</v>
      </c>
      <c r="B24" s="108" t="s">
        <v>173</v>
      </c>
      <c r="C24" s="173">
        <v>1200</v>
      </c>
      <c r="D24" s="143">
        <v>1</v>
      </c>
      <c r="F24" s="152">
        <f t="shared" si="1"/>
        <v>1</v>
      </c>
      <c r="G24" s="140">
        <f t="shared" si="2"/>
        <v>23</v>
      </c>
      <c r="H24" s="140" t="str">
        <f t="shared" si="4"/>
        <v>топленое молоко</v>
      </c>
      <c r="I24" s="140">
        <f t="shared" si="0"/>
        <v>1200</v>
      </c>
      <c r="J24" s="140">
        <f t="shared" si="3"/>
        <v>1</v>
      </c>
    </row>
    <row r="25" spans="1:18" s="119" customFormat="1" x14ac:dyDescent="0.2">
      <c r="A25" s="1">
        <v>24</v>
      </c>
      <c r="B25" s="108" t="s">
        <v>174</v>
      </c>
      <c r="C25" s="173">
        <v>1400</v>
      </c>
      <c r="D25" s="143">
        <v>3</v>
      </c>
      <c r="E25">
        <v>3</v>
      </c>
      <c r="F25" s="152">
        <f t="shared" si="1"/>
        <v>1</v>
      </c>
      <c r="G25" s="140">
        <f t="shared" si="2"/>
        <v>24</v>
      </c>
      <c r="H25" s="140" t="str">
        <f t="shared" si="4"/>
        <v>топленое молоко (пл. №34,25)</v>
      </c>
      <c r="I25" s="140">
        <f t="shared" si="0"/>
        <v>1400</v>
      </c>
      <c r="J25" s="140">
        <f t="shared" si="3"/>
        <v>3</v>
      </c>
    </row>
    <row r="26" spans="1:18" x14ac:dyDescent="0.2">
      <c r="A26" s="1">
        <v>25</v>
      </c>
      <c r="B26" t="s">
        <v>151</v>
      </c>
      <c r="C26" s="173">
        <v>1200</v>
      </c>
      <c r="D26" s="143">
        <v>2</v>
      </c>
      <c r="E26">
        <v>3</v>
      </c>
      <c r="F26" s="152">
        <f t="shared" si="1"/>
        <v>1</v>
      </c>
      <c r="G26" s="140">
        <f t="shared" si="2"/>
        <v>25</v>
      </c>
      <c r="H26" s="140" t="str">
        <f t="shared" si="4"/>
        <v>серебро</v>
      </c>
      <c r="I26" s="140">
        <f t="shared" si="0"/>
        <v>1200</v>
      </c>
      <c r="J26" s="140">
        <f t="shared" si="3"/>
        <v>2</v>
      </c>
    </row>
    <row r="27" spans="1:18" x14ac:dyDescent="0.2">
      <c r="A27" s="1">
        <v>26</v>
      </c>
      <c r="B27" s="108" t="s">
        <v>152</v>
      </c>
      <c r="C27" s="173">
        <v>1200</v>
      </c>
      <c r="D27" s="143">
        <v>1</v>
      </c>
      <c r="F27" s="152">
        <f t="shared" si="1"/>
        <v>1</v>
      </c>
      <c r="G27" s="140">
        <f t="shared" si="2"/>
        <v>26</v>
      </c>
      <c r="H27" s="140" t="str">
        <f t="shared" si="4"/>
        <v>черное</v>
      </c>
      <c r="I27" s="140">
        <f t="shared" si="0"/>
        <v>1200</v>
      </c>
      <c r="J27" s="140">
        <f t="shared" si="3"/>
        <v>1</v>
      </c>
    </row>
    <row r="28" spans="1:18" x14ac:dyDescent="0.2">
      <c r="A28" s="1">
        <v>27</v>
      </c>
      <c r="B28" s="108" t="s">
        <v>157</v>
      </c>
      <c r="C28" s="173">
        <v>1400</v>
      </c>
      <c r="D28" s="143">
        <v>3</v>
      </c>
      <c r="E28">
        <v>3</v>
      </c>
      <c r="F28" s="152">
        <f t="shared" si="1"/>
        <v>1</v>
      </c>
      <c r="G28" s="140">
        <f t="shared" si="2"/>
        <v>27</v>
      </c>
      <c r="H28" s="140" t="str">
        <f t="shared" si="4"/>
        <v>черное (пл. №34,25)</v>
      </c>
      <c r="I28" s="140">
        <f t="shared" si="0"/>
        <v>1400</v>
      </c>
      <c r="J28" s="140">
        <f t="shared" si="3"/>
        <v>3</v>
      </c>
    </row>
    <row r="29" spans="1:18" s="119" customFormat="1" x14ac:dyDescent="0.2">
      <c r="A29" s="1"/>
      <c r="B29"/>
      <c r="C29" s="143"/>
      <c r="D29" s="143"/>
      <c r="E29"/>
      <c r="F29"/>
      <c r="G29"/>
      <c r="H29"/>
      <c r="I29"/>
      <c r="J29"/>
      <c r="K29"/>
    </row>
    <row r="30" spans="1:18" s="119" customFormat="1" x14ac:dyDescent="0.2">
      <c r="A30" s="1"/>
      <c r="B30"/>
      <c r="C30" s="143"/>
      <c r="D30" s="143"/>
      <c r="E30"/>
      <c r="F30"/>
      <c r="G30"/>
      <c r="H30"/>
      <c r="I30"/>
      <c r="J30"/>
      <c r="K30"/>
    </row>
    <row r="31" spans="1:18" s="119" customFormat="1" x14ac:dyDescent="0.2">
      <c r="A31" s="1"/>
      <c r="B31"/>
      <c r="C31" s="143"/>
      <c r="D31" s="143"/>
      <c r="E31"/>
      <c r="F31"/>
      <c r="G31"/>
      <c r="H31"/>
      <c r="I31"/>
      <c r="J31"/>
      <c r="K31"/>
      <c r="M31"/>
      <c r="N31"/>
      <c r="O31"/>
      <c r="P31"/>
      <c r="Q31"/>
    </row>
    <row r="32" spans="1:18" s="119" customFormat="1" x14ac:dyDescent="0.2">
      <c r="A32" s="1"/>
      <c r="B32"/>
      <c r="C32" s="143"/>
      <c r="D32" s="143"/>
      <c r="E32"/>
      <c r="F32"/>
      <c r="G32"/>
      <c r="H32"/>
      <c r="I32"/>
      <c r="J32"/>
      <c r="K32"/>
      <c r="M32"/>
      <c r="N32"/>
      <c r="O32"/>
      <c r="P32"/>
      <c r="Q32"/>
      <c r="R32"/>
    </row>
  </sheetData>
  <autoFilter ref="C2:D28" xr:uid="{00000000-0009-0000-0000-000004000000}"/>
  <customSheetViews>
    <customSheetView guid="{700CC08B-C9E0-4A9E-9D69-3098FEE5461F}" scale="85" showAutoFilter="1" state="hidden">
      <selection activeCell="C29" sqref="C29"/>
      <pageMargins left="0.75" right="0.75" top="1" bottom="1" header="0.5" footer="0.5"/>
      <pageSetup paperSize="9" orientation="portrait" r:id="rId1"/>
      <headerFooter alignWithMargins="0"/>
      <autoFilter ref="C2:D28" xr:uid="{00000000-0000-0000-0000-000000000000}"/>
    </customSheetView>
  </customSheetViews>
  <phoneticPr fontId="3" type="noConversion"/>
  <pageMargins left="0.75" right="0.75" top="1" bottom="1" header="0.5" footer="0.5"/>
  <pageSetup paperSize="9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5"/>
  <dimension ref="B1:F12"/>
  <sheetViews>
    <sheetView workbookViewId="0">
      <selection activeCell="D18" sqref="D18"/>
    </sheetView>
  </sheetViews>
  <sheetFormatPr defaultRowHeight="12.75" x14ac:dyDescent="0.2"/>
  <sheetData>
    <row r="1" spans="2:6" x14ac:dyDescent="0.2">
      <c r="B1" s="23" t="s">
        <v>90</v>
      </c>
      <c r="C1" s="23"/>
      <c r="E1" s="23" t="s">
        <v>201</v>
      </c>
      <c r="F1" s="23"/>
    </row>
    <row r="2" spans="2:6" x14ac:dyDescent="0.2">
      <c r="B2">
        <v>110</v>
      </c>
      <c r="C2">
        <v>0</v>
      </c>
      <c r="F2">
        <v>0</v>
      </c>
    </row>
    <row r="3" spans="2:6" x14ac:dyDescent="0.2">
      <c r="B3">
        <v>713</v>
      </c>
      <c r="C3">
        <v>0</v>
      </c>
      <c r="E3" t="s">
        <v>180</v>
      </c>
      <c r="F3">
        <v>538</v>
      </c>
    </row>
    <row r="4" spans="2:6" x14ac:dyDescent="0.2">
      <c r="B4">
        <v>714</v>
      </c>
      <c r="C4">
        <v>0</v>
      </c>
      <c r="E4" t="s">
        <v>91</v>
      </c>
      <c r="F4">
        <v>538</v>
      </c>
    </row>
    <row r="5" spans="2:6" x14ac:dyDescent="0.2">
      <c r="B5">
        <v>715</v>
      </c>
      <c r="C5">
        <v>0</v>
      </c>
      <c r="E5" t="s">
        <v>181</v>
      </c>
      <c r="F5">
        <v>690</v>
      </c>
    </row>
    <row r="6" spans="2:6" x14ac:dyDescent="0.2">
      <c r="B6">
        <v>716</v>
      </c>
      <c r="C6">
        <v>0</v>
      </c>
      <c r="E6" t="s">
        <v>182</v>
      </c>
      <c r="F6">
        <v>538</v>
      </c>
    </row>
    <row r="7" spans="2:6" x14ac:dyDescent="0.2">
      <c r="B7">
        <v>717</v>
      </c>
      <c r="C7">
        <v>0</v>
      </c>
      <c r="E7" t="s">
        <v>183</v>
      </c>
      <c r="F7">
        <v>538</v>
      </c>
    </row>
    <row r="8" spans="2:6" x14ac:dyDescent="0.2">
      <c r="B8">
        <v>900</v>
      </c>
      <c r="C8">
        <v>0</v>
      </c>
      <c r="E8" t="s">
        <v>184</v>
      </c>
      <c r="F8">
        <v>560</v>
      </c>
    </row>
    <row r="9" spans="2:6" x14ac:dyDescent="0.2">
      <c r="B9">
        <v>957</v>
      </c>
      <c r="C9">
        <v>0</v>
      </c>
    </row>
    <row r="10" spans="2:6" x14ac:dyDescent="0.2">
      <c r="B10">
        <v>958</v>
      </c>
      <c r="C10">
        <v>0</v>
      </c>
    </row>
    <row r="11" spans="2:6" x14ac:dyDescent="0.2">
      <c r="B11">
        <v>959</v>
      </c>
      <c r="C11">
        <v>0</v>
      </c>
    </row>
    <row r="12" spans="2:6" x14ac:dyDescent="0.2">
      <c r="B12">
        <v>960</v>
      </c>
      <c r="C12">
        <v>0</v>
      </c>
    </row>
  </sheetData>
  <customSheetViews>
    <customSheetView guid="{700CC08B-C9E0-4A9E-9D69-3098FEE5461F}" state="hidden">
      <selection activeCell="D18" sqref="D18"/>
      <pageMargins left="0.75" right="0.75" top="1" bottom="1" header="0.5" footer="0.5"/>
      <headerFooter alignWithMargins="0"/>
    </customSheetView>
  </customSheetViews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Бланк зам Плівка</vt:lpstr>
      <vt:lpstr>Правило роботи</vt:lpstr>
      <vt:lpstr>Пленки</vt:lpstr>
      <vt:lpstr>Фрезеровки</vt:lpstr>
      <vt:lpstr>Патина</vt:lpstr>
      <vt:lpstr>Гнутые</vt:lpstr>
      <vt:lpstr>'Бланк зам Плівка'!Область_печати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Vivo</dc:creator>
  <dc:description>26.11.15 - Переименованы карнизы, свет.планки,фризы - добавлена высота           23.12.15 - Рисунки Санторини, Кантри, Фортуна, Версаль, Дует, Тулон Фугурные разбиты на левый/правый. Добавлены рисунки Бремен (без декора), Нарвик (без декора) 28.12.15 - Устранена ошибка цены в декор.планках Париж, Флора, Латина, Модена, Венеция</dc:description>
  <cp:lastModifiedBy>Кузьмина Людмила</cp:lastModifiedBy>
  <cp:lastPrinted>2021-10-17T11:03:36Z</cp:lastPrinted>
  <dcterms:created xsi:type="dcterms:W3CDTF">2015-08-25T10:53:44Z</dcterms:created>
  <dcterms:modified xsi:type="dcterms:W3CDTF">2025-10-13T07:12:14Z</dcterms:modified>
</cp:coreProperties>
</file>